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0" yWindow="65521" windowWidth="10245" windowHeight="8655" firstSheet="0" activeTab="1"/>
  </bookViews>
  <sheets>
    <sheet name="Da Cac Loai" sheetId="1" r:id="rId1"/>
    <sheet name="Cac loai" sheetId="2" r:id="rId2"/>
    <sheet name="BTBG" sheetId="3" state="hidden" r:id="rId3"/>
    <sheet name="BTBG-1" sheetId="4" state="hidden" r:id="rId4"/>
    <sheet name="Sheet5" sheetId="5" state="hidden" r:id="rId5"/>
    <sheet name="TM" sheetId="6" state="hidden" r:id="rId6"/>
    <sheet name="van chuyen da" sheetId="7" state="hidden" r:id="rId7"/>
    <sheet name="Tai noi SX" sheetId="8" r:id="rId8"/>
  </sheets>
  <definedNames>
    <definedName name="_xlnm.Print_Area" localSheetId="3">'BTBG-1'!$A$1:$D$150</definedName>
    <definedName name="_xlnm.Print_Titles" localSheetId="3">'BTBG-1'!$3:$5</definedName>
    <definedName name="_xlnm.Print_Titles" localSheetId="1">'Cac loai'!$4:$6</definedName>
    <definedName name="_xlnm.Print_Titles" localSheetId="6">'van chuyen da'!$A:$A</definedName>
  </definedNames>
  <calcPr fullCalcOnLoad="1"/>
</workbook>
</file>

<file path=xl/comments1.xml><?xml version="1.0" encoding="utf-8"?>
<comments xmlns="http://schemas.openxmlformats.org/spreadsheetml/2006/main">
  <authors>
    <author>HD</author>
  </authors>
  <commentList>
    <comment ref="A6" authorId="0">
      <text>
        <r>
          <rPr>
            <b/>
            <sz val="9"/>
            <rFont val="Tahoma"/>
            <family val="2"/>
          </rPr>
          <t>HD: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Windows User</author>
  </authors>
  <commentList>
    <comment ref="F22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7273</t>
        </r>
      </text>
    </comment>
  </commentList>
</comments>
</file>

<file path=xl/comments8.xml><?xml version="1.0" encoding="utf-8"?>
<comments xmlns="http://schemas.openxmlformats.org/spreadsheetml/2006/main">
  <authors>
    <author>Admin</author>
  </authors>
  <commentList>
    <comment ref="B106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<sst xmlns="http://schemas.openxmlformats.org/spreadsheetml/2006/main" count="6717" uniqueCount="3211">
  <si>
    <t xml:space="preserve">* </t>
  </si>
  <si>
    <t>Cây chống (loại dài 4m, D80-D100)</t>
  </si>
  <si>
    <t>DANH MỤC NHÓM CÁC LOẠI VẬT LIỆU CHỦ YẾU 
(Q.cách - TCKT - Ký, mã hiệu)</t>
  </si>
  <si>
    <t xml:space="preserve">Cánh cửa gỗ Lim Nam Phi nhập khẩu ( dày 4 cm) </t>
  </si>
  <si>
    <t>Khung cửa gỗ Lim Nam Phi nhập khẩu</t>
  </si>
  <si>
    <t>Công ty TNHH sản xuất và thương mại Tuổi Trẻ Lạng Sơn</t>
  </si>
  <si>
    <t xml:space="preserve">Cửa panô chớp gỗ nhóm IV,V   </t>
  </si>
  <si>
    <t>Công ty cổ phần ACC-78</t>
  </si>
  <si>
    <t>Sơn hãng GALAXY</t>
  </si>
  <si>
    <t>Sơn phủ ngoại thất  </t>
  </si>
  <si>
    <t xml:space="preserve">Sơn Ecoplus (4,5 lit/thùng) </t>
  </si>
  <si>
    <t xml:space="preserve">Sơn Ecoplus (17 lit/thùng) </t>
  </si>
  <si>
    <t xml:space="preserve">Sơn Lax (17 lit/thùng) </t>
  </si>
  <si>
    <t xml:space="preserve">Sơn Lax (1 lit/thùng) </t>
  </si>
  <si>
    <t xml:space="preserve">Sơn Lax (5 lit/thùng) </t>
  </si>
  <si>
    <t>Sơn phủ nội thất</t>
  </si>
  <si>
    <t xml:space="preserve">Sơn GJC new  (17 lit/thùng) </t>
  </si>
  <si>
    <t xml:space="preserve">Sơn GJC new  (4.5 lit/thùng) </t>
  </si>
  <si>
    <t xml:space="preserve">Sơn EcoMax  (4.5 lit/thùng) </t>
  </si>
  <si>
    <t xml:space="preserve">Sơn EcoMax  (17 lit/thùng) </t>
  </si>
  <si>
    <t xml:space="preserve">Sơn GLITE  (17 lit/thùng) </t>
  </si>
  <si>
    <t xml:space="preserve">Sơn GLITE  (4.5 lit/thùng) </t>
  </si>
  <si>
    <t xml:space="preserve">Sơn LAMMYA  (17 lit/thùng) </t>
  </si>
  <si>
    <t xml:space="preserve">Sơn LAMMYA  (4.5 lit/thùng) </t>
  </si>
  <si>
    <t>Sơn Lót</t>
  </si>
  <si>
    <t xml:space="preserve">Sơn Sealer  (4.5 lit/thùng) </t>
  </si>
  <si>
    <t xml:space="preserve">Sơn Sealer  (18 lit/thùng) </t>
  </si>
  <si>
    <t xml:space="preserve">Sơn LOT+   (4.5 lit/thùng) </t>
  </si>
  <si>
    <t xml:space="preserve">Sơn LOT+  (18 lit/thùng) </t>
  </si>
  <si>
    <t xml:space="preserve">Sơn Primer  (18 lit/thùng) </t>
  </si>
  <si>
    <t xml:space="preserve">Sơn Primer  (4.5 lit/thùng) </t>
  </si>
  <si>
    <t xml:space="preserve">Sơn LOT 3in1 (4.5 lit/thùng) </t>
  </si>
  <si>
    <t xml:space="preserve">Sơn LOT 3in1 (18 lit/thùng) </t>
  </si>
  <si>
    <t>Sơn tính năng</t>
  </si>
  <si>
    <t xml:space="preserve">Sơn Prôtector 2+ (1 lit/thùng) </t>
  </si>
  <si>
    <t xml:space="preserve">Sơn Prôtector 2+ (5 lit/thùng) </t>
  </si>
  <si>
    <t>Sơn chống thấm, thành phần sơn và xi măng (5kg/thùng)</t>
  </si>
  <si>
    <t>Sơn chống thấm, thành phần sơn và xi măng (20kg/thùng)</t>
  </si>
  <si>
    <t>Bột bả</t>
  </si>
  <si>
    <t>Bột Prôtector  (40kg/bao)</t>
  </si>
  <si>
    <t>Ga la xy chất lượng  (40kg/bao)</t>
  </si>
  <si>
    <t>Ga la xy vỏ trắng  (40kg/bao)</t>
  </si>
  <si>
    <t>Đá (0 x 5) mm</t>
  </si>
  <si>
    <t>Đá (5 x 13) mm</t>
  </si>
  <si>
    <t>Đá (13 x 19) mm</t>
  </si>
  <si>
    <t>Đá (19 x 37.5) mm</t>
  </si>
  <si>
    <t>Đá cho bê tông nhựa Asphalt</t>
  </si>
  <si>
    <t xml:space="preserve">Công ty TNHH đá Thượng Thành </t>
  </si>
  <si>
    <t xml:space="preserve">Công ty TNHH Thịnh An Bình </t>
  </si>
  <si>
    <t>(giá đã bao gồm chi phí xúc lên phương tiện vận chuyển bên mua tại mỏ)</t>
  </si>
  <si>
    <t>Nơi SX: Mỏ đá Hồng Phong I, xã Hồng Phong, huyện Cao Lộc, tỉnh Lạng Sơn</t>
  </si>
  <si>
    <t>Nơi SX: Mỏ đá Hồng Phong IV, xã Tô Hiệu, huyện Bình Gia, tỉnh Lạng Sơn</t>
  </si>
  <si>
    <t>-</t>
  </si>
  <si>
    <t>(Giá bán tại nhà máy, đã bao gồm bốc xếp lên phương tiện của khách hàng)</t>
  </si>
  <si>
    <t>Đá (5 x 10)mm</t>
  </si>
  <si>
    <t>Đá (10 x 20)mm</t>
  </si>
  <si>
    <t>Đá (20 x 40)mm</t>
  </si>
  <si>
    <t>Đá (40 x 60)mm</t>
  </si>
  <si>
    <t xml:space="preserve">Đơn vị tính: Đồng </t>
  </si>
  <si>
    <t>Ổ cắm điện CLIPSAL Việt Nam</t>
  </si>
  <si>
    <t>Tấm lợp Fibrôximăng (0,9 x 1,5)cm Đông Anh</t>
  </si>
  <si>
    <t>Ống thép mạ kẽm - VINAPINE</t>
  </si>
  <si>
    <t>D15</t>
  </si>
  <si>
    <t>D20</t>
  </si>
  <si>
    <t>D26</t>
  </si>
  <si>
    <t>D33</t>
  </si>
  <si>
    <t>D40</t>
  </si>
  <si>
    <t>D50</t>
  </si>
  <si>
    <t>D65</t>
  </si>
  <si>
    <t>D80</t>
  </si>
  <si>
    <t>D100</t>
  </si>
  <si>
    <t>D63</t>
  </si>
  <si>
    <t>D75</t>
  </si>
  <si>
    <t>D90</t>
  </si>
  <si>
    <t>D110</t>
  </si>
  <si>
    <t>D125</t>
  </si>
  <si>
    <t>D140</t>
  </si>
  <si>
    <t>D160</t>
  </si>
  <si>
    <t>D180</t>
  </si>
  <si>
    <t>D200</t>
  </si>
  <si>
    <t>Zoăng cao su</t>
  </si>
  <si>
    <t>Keo dán PVC</t>
  </si>
  <si>
    <t>D63 dày 2.5mm</t>
  </si>
  <si>
    <t>D75 dày 2.9mm</t>
  </si>
  <si>
    <t>D90 dày 3.5mm</t>
  </si>
  <si>
    <t>D110 dày 4.2mm</t>
  </si>
  <si>
    <t>D125 dày 4.8mm</t>
  </si>
  <si>
    <t>D140 dày 5.4mm</t>
  </si>
  <si>
    <t>D160 dày 6.2mm</t>
  </si>
  <si>
    <t>D180 dầy 6.9mm</t>
  </si>
  <si>
    <t>D200 dày 7.7mm</t>
  </si>
  <si>
    <t>D63 dày 3.0mm</t>
  </si>
  <si>
    <t>D75 dày 3.6mm</t>
  </si>
  <si>
    <t>D90 dày 4.3mm</t>
  </si>
  <si>
    <t>D110 dày 5.3mm</t>
  </si>
  <si>
    <t>D125 dày 6.0mm</t>
  </si>
  <si>
    <t>D140 dày 6.7mm</t>
  </si>
  <si>
    <t>D160 dày 7.7mm</t>
  </si>
  <si>
    <t>D180 dầy 8.6mm</t>
  </si>
  <si>
    <t>D200 dày 9.6mm</t>
  </si>
  <si>
    <t>Ống nhựa TIỀN PHONG</t>
  </si>
  <si>
    <t>D21</t>
  </si>
  <si>
    <t>D27</t>
  </si>
  <si>
    <t>D34</t>
  </si>
  <si>
    <t>D42</t>
  </si>
  <si>
    <t>D48</t>
  </si>
  <si>
    <t>D60</t>
  </si>
  <si>
    <t>D20 dày 1.9mm</t>
  </si>
  <si>
    <t>D25 dày 2.3mm</t>
  </si>
  <si>
    <t>D32 dày 3.0mm</t>
  </si>
  <si>
    <t>D40 dày 3.7mm</t>
  </si>
  <si>
    <t>D50 dày 4.6mm</t>
  </si>
  <si>
    <t>D63 dày 5.8mm</t>
  </si>
  <si>
    <t>D75 dày 6.8mm</t>
  </si>
  <si>
    <t>D90 dày 8.2mm</t>
  </si>
  <si>
    <t>D110 dày 10.0mm</t>
  </si>
  <si>
    <t>D20 dày 2.8mm</t>
  </si>
  <si>
    <t>D25 dày 3.5mm</t>
  </si>
  <si>
    <t>D32 dày 4.4mm</t>
  </si>
  <si>
    <t>D40 dày 5.5mm</t>
  </si>
  <si>
    <t>D50 dày 6.9mm</t>
  </si>
  <si>
    <t>D63 dày 8.6mm</t>
  </si>
  <si>
    <t>D75 dày 10.3mm</t>
  </si>
  <si>
    <t>D90 dày 12.3mm</t>
  </si>
  <si>
    <t>D110 dày 15.1mm</t>
  </si>
  <si>
    <t>Đầu nối thẳng</t>
  </si>
  <si>
    <t>D25</t>
  </si>
  <si>
    <t>D32</t>
  </si>
  <si>
    <t>Zắc co nhựa</t>
  </si>
  <si>
    <t xml:space="preserve">Ba chạc 90 độ </t>
  </si>
  <si>
    <t>Đầu bịt PPR</t>
  </si>
  <si>
    <t>Bích PPR</t>
  </si>
  <si>
    <t>ĐƠN GIÁ</t>
  </si>
  <si>
    <t>Cột LT 10A, TL 921,32 kg/cột</t>
  </si>
  <si>
    <t>Cột LT 10B, TL 922,40 kg/cột</t>
  </si>
  <si>
    <t>Cột LT 10C, TL 930,50 kg/cột</t>
  </si>
  <si>
    <t>Cột LT 12A, TL 1288,00 kg/cột</t>
  </si>
  <si>
    <t>Cột LT 12B, TL 1327,73 kg/cột</t>
  </si>
  <si>
    <t>Cột LT 12C, TL 1373,30 kg/cột</t>
  </si>
  <si>
    <t>Cột LT 14B, TL 1905,60 kg/cột</t>
  </si>
  <si>
    <t>Cột LT 14C, TL 2006,27 kg/cột</t>
  </si>
  <si>
    <t>Cột LT 14D, TL 2042,87 kg/cột</t>
  </si>
  <si>
    <t>Cột LT 16B, TL 2.182,64 kg/cột</t>
  </si>
  <si>
    <t>Cột LT 16C, TL 2292,00 kg/cột</t>
  </si>
  <si>
    <t>Cột LT 16D, TL 2340,00 kg/cột</t>
  </si>
  <si>
    <t>Cột LT 18B, TL 2.650.00 kg/cột</t>
  </si>
  <si>
    <t>Cột LT 18C, TL 2715,00 kg/cột</t>
  </si>
  <si>
    <t>Cột LT 18D, TL 2880,00 kg/cột</t>
  </si>
  <si>
    <t>Cột LT 20B, TL 3.185,00 kg/cột</t>
  </si>
  <si>
    <t>Cột LT 20C TL 3.297,00 kg/cột</t>
  </si>
  <si>
    <t>Cột LT 20D, TL 3.415,00 kg/cột</t>
  </si>
  <si>
    <t>Cột LT 7A, TL 456 kg/cột</t>
  </si>
  <si>
    <t>Cột LT 7B, TL 465 kg/cột</t>
  </si>
  <si>
    <t>Tủ điện NANO vỏ kim loại</t>
  </si>
  <si>
    <t>Tủ 2-4 át, KT 200x125x58</t>
  </si>
  <si>
    <t>Tủ 6 át, KT 200x198x58</t>
  </si>
  <si>
    <t>Tủ 9 át, KT 200x265x58</t>
  </si>
  <si>
    <t>Tủ 13 át, KT 200x338x58</t>
  </si>
  <si>
    <t>Tủ 18 át, KT 385x285x58</t>
  </si>
  <si>
    <t>Tủ 24 át, KT 400x325x58</t>
  </si>
  <si>
    <t>Tủ 26 át, KT 385x340x58</t>
  </si>
  <si>
    <t>Vôi cục</t>
  </si>
  <si>
    <t xml:space="preserve">Công ty TNHH Hồng Phong </t>
  </si>
  <si>
    <t xml:space="preserve">Công ty cổ phần bê tông Lạng Sơn </t>
  </si>
  <si>
    <t>Màu đỏ</t>
  </si>
  <si>
    <t>Đá Bình Định loại 1, dày 18-20mm</t>
  </si>
  <si>
    <t>Màu hồng</t>
  </si>
  <si>
    <t>Màu vàng</t>
  </si>
  <si>
    <t>Màu tím hoa cà</t>
  </si>
  <si>
    <t>Đá Thanh Hóa loại 1, dày 18-20mm</t>
  </si>
  <si>
    <t>Màu vân mây</t>
  </si>
  <si>
    <t>Đá Huế loại 1, dày 18-20mm</t>
  </si>
  <si>
    <t>Màu đen</t>
  </si>
  <si>
    <t>Bệt  VI77 (PK tay gạt)</t>
  </si>
  <si>
    <t>Bệt  VI44 (PK tay gạt)</t>
  </si>
  <si>
    <t>Bệt VI66 (PK 2 nhút nhấn, nắp nhựa)</t>
  </si>
  <si>
    <t>Bệt VI88 (PK 2 nút nhấn, nắp rơi êm VI66)</t>
  </si>
  <si>
    <t>Chậu VTL2, VTL3N, VI1T</t>
  </si>
  <si>
    <t>Chậu VTL4</t>
  </si>
  <si>
    <t>Tiểu nam TT1, TT3, không phụ kiện</t>
  </si>
  <si>
    <t>Tiểu nam TT5 , không phụ kiện</t>
  </si>
  <si>
    <t xml:space="preserve"> Tiểu nữ VB3, VB5</t>
  </si>
  <si>
    <t>Phụ kiện</t>
  </si>
  <si>
    <t xml:space="preserve">Phụ kiện phòng tắm Inox IPK01 6 chi tiết </t>
  </si>
  <si>
    <t xml:space="preserve">Phụ kiện phòng tắm sứ SPK01 5 chi tiết </t>
  </si>
  <si>
    <t xml:space="preserve">Phụ kiện phòng tắm đồng mạ crôm VG PK02 5 chi tiết </t>
  </si>
  <si>
    <t>Loại (6x24)cm</t>
  </si>
  <si>
    <t>Đá mạt</t>
  </si>
  <si>
    <t>Bê tông thương phẩm sử dụng cát vàng</t>
  </si>
  <si>
    <t>Bê tông thương phẩm sử dụng cát nghiền</t>
  </si>
  <si>
    <t>Cửa kính gỗ lim (kính màu dày 5 mm )</t>
  </si>
  <si>
    <t xml:space="preserve">Cánh cửa gỗ nhóm II ( dày 4 cm) </t>
  </si>
  <si>
    <t xml:space="preserve">Nẹp khuôn, tay vịn lan can gỗ Lim nhập khẩu </t>
  </si>
  <si>
    <t>Nẹp khuôn (3x1,5)cm gỗ lim</t>
  </si>
  <si>
    <t>Tay vịn lan can cầu thang (8x12)cm</t>
  </si>
  <si>
    <t>Sơn màu pha sẵn trong và ngoài nhà</t>
  </si>
  <si>
    <t>Sơn trong nhà loại K-180 (20kg/thùng)</t>
  </si>
  <si>
    <t>Sơn nước trong nhà</t>
  </si>
  <si>
    <t>Kg</t>
  </si>
  <si>
    <t>Sơn nước ngoài trời</t>
  </si>
  <si>
    <t>Ma tít</t>
  </si>
  <si>
    <t>Chất phủ đệm sân thể thao, sân Tennis loại TNA (25kg/thùng)</t>
  </si>
  <si>
    <t>Matít chịu ẩm ướt dùng cho sân Tennis, chân tường loại SK-6 (20kg/thùng)</t>
  </si>
  <si>
    <t>Màu có đuôi OW</t>
  </si>
  <si>
    <t>Màu có đuôi P</t>
  </si>
  <si>
    <t>Màu có đuôi T</t>
  </si>
  <si>
    <t>Màu có đuôi D</t>
  </si>
  <si>
    <t>Màu có đuôi A</t>
  </si>
  <si>
    <t>A30</t>
  </si>
  <si>
    <t>A20</t>
  </si>
  <si>
    <t>bình</t>
  </si>
  <si>
    <t xml:space="preserve"> Thiết bị vệ sinh VIGLACERA</t>
  </si>
  <si>
    <t>Loại bệt tay gat:</t>
  </si>
  <si>
    <t>Loại bệt nút nhấn</t>
  </si>
  <si>
    <t>Bệt VI 28 (PK 1 nhấn siêu nhẹ, nắp nhựa)</t>
  </si>
  <si>
    <t>Chậu rửa:</t>
  </si>
  <si>
    <t>Tiểu nam, tiểu nữ</t>
  </si>
  <si>
    <r>
      <t xml:space="preserve">Cét H6,5C - 460 </t>
    </r>
    <r>
      <rPr>
        <sz val="12"/>
        <rFont val=".VnTime"/>
        <family val="2"/>
      </rPr>
      <t>daN</t>
    </r>
  </si>
  <si>
    <r>
      <t xml:space="preserve">Cét H7,5A - 230 </t>
    </r>
    <r>
      <rPr>
        <sz val="12"/>
        <rFont val=".VnTime"/>
        <family val="2"/>
      </rPr>
      <t>da</t>
    </r>
    <r>
      <rPr>
        <sz val="12"/>
        <rFont val=".VnTimeH"/>
        <family val="2"/>
      </rPr>
      <t>N</t>
    </r>
  </si>
  <si>
    <r>
      <t xml:space="preserve">Cét H7,5B - 360 </t>
    </r>
    <r>
      <rPr>
        <sz val="12"/>
        <rFont val=".VnTime"/>
        <family val="2"/>
      </rPr>
      <t>da</t>
    </r>
    <r>
      <rPr>
        <sz val="12"/>
        <rFont val=".VnTimeH"/>
        <family val="2"/>
      </rPr>
      <t>N</t>
    </r>
  </si>
  <si>
    <r>
      <t xml:space="preserve">Cét H7,5C - 460 </t>
    </r>
    <r>
      <rPr>
        <sz val="12"/>
        <rFont val=".VnTime"/>
        <family val="2"/>
      </rPr>
      <t>da</t>
    </r>
    <r>
      <rPr>
        <sz val="12"/>
        <rFont val=".VnTimeH"/>
        <family val="2"/>
      </rPr>
      <t>N</t>
    </r>
  </si>
  <si>
    <r>
      <t xml:space="preserve">Cét H8,5A - 230 </t>
    </r>
    <r>
      <rPr>
        <sz val="12"/>
        <rFont val=".VnTime"/>
        <family val="2"/>
      </rPr>
      <t>da</t>
    </r>
    <r>
      <rPr>
        <sz val="12"/>
        <rFont val=".VnTimeH"/>
        <family val="2"/>
      </rPr>
      <t>N</t>
    </r>
  </si>
  <si>
    <r>
      <t xml:space="preserve">Cét H8,5B - 360 </t>
    </r>
    <r>
      <rPr>
        <sz val="12"/>
        <rFont val=".VnTime"/>
        <family val="2"/>
      </rPr>
      <t>da</t>
    </r>
    <r>
      <rPr>
        <sz val="12"/>
        <rFont val=".VnTimeH"/>
        <family val="2"/>
      </rPr>
      <t>N</t>
    </r>
  </si>
  <si>
    <r>
      <t xml:space="preserve">Cét H8,5C - 460 </t>
    </r>
    <r>
      <rPr>
        <sz val="12"/>
        <rFont val=".VnTime"/>
        <family val="2"/>
      </rPr>
      <t>da</t>
    </r>
    <r>
      <rPr>
        <sz val="12"/>
        <rFont val=".VnTimeH"/>
        <family val="2"/>
      </rPr>
      <t>N</t>
    </r>
  </si>
  <si>
    <t>CỐNG LY TÂM ĐẦU BẰNG</t>
  </si>
  <si>
    <t>M300 ĐS18</t>
  </si>
  <si>
    <t>®¬n gi¸ (®)</t>
  </si>
  <si>
    <t>§¬n gi¸ (®)</t>
  </si>
  <si>
    <t>träng l­îng
(kg)</t>
  </si>
  <si>
    <t>stt</t>
  </si>
  <si>
    <t>§¸ héc</t>
  </si>
  <si>
    <t>§¸ 1x2</t>
  </si>
  <si>
    <t>§¸ 2x4</t>
  </si>
  <si>
    <t>§¸ 4x6</t>
  </si>
  <si>
    <t>§¸ Base</t>
  </si>
  <si>
    <t>§¸ subase</t>
  </si>
  <si>
    <t>Cù ly</t>
  </si>
  <si>
    <t xml:space="preserve">§¬n gi¸ </t>
  </si>
  <si>
    <t>Yªn ThÕ</t>
  </si>
  <si>
    <t>T©n Yªn</t>
  </si>
  <si>
    <t>HiÖp Hoµ</t>
  </si>
  <si>
    <t>Má §ång tiÕn</t>
  </si>
  <si>
    <t>thµnh tiÒn</t>
  </si>
  <si>
    <t>Lôc Ng¹n</t>
  </si>
  <si>
    <t>S¬n §éng</t>
  </si>
  <si>
    <t>§ång Má</t>
  </si>
  <si>
    <t>L¹ng Giang</t>
  </si>
  <si>
    <t>B¾c Giang</t>
  </si>
  <si>
    <t>ViÖt Yªn</t>
  </si>
  <si>
    <t>Lôc Nam</t>
  </si>
  <si>
    <t>Má VÜnh ThÞnh</t>
  </si>
  <si>
    <t>Yªn Dòng</t>
  </si>
  <si>
    <t>H¶i D­¬ng</t>
  </si>
  <si>
    <t>C­íc 1</t>
  </si>
  <si>
    <t>C­íc 2</t>
  </si>
  <si>
    <t>Gi¸ gèc</t>
  </si>
  <si>
    <t>Yªn Dòng (bến ®¸m)</t>
  </si>
  <si>
    <t>CỘT - LT12D</t>
  </si>
  <si>
    <t>Gạch lát Viglacera Hà Nội, que hàn Việt Đức: giá không có biến động (Thị trường giá cả vật tư của Bộ Công thương số 1+2 ngày 1-4/1/2010)</t>
  </si>
  <si>
    <t>tấm</t>
  </si>
  <si>
    <t>BG</t>
  </si>
  <si>
    <t>YD</t>
  </si>
  <si>
    <t>VY</t>
  </si>
  <si>
    <t>HH</t>
  </si>
  <si>
    <t>TY</t>
  </si>
  <si>
    <t>LG</t>
  </si>
  <si>
    <t>LN</t>
  </si>
  <si>
    <t>YT</t>
  </si>
  <si>
    <t>SĐ</t>
  </si>
  <si>
    <t>Thành tiền</t>
  </si>
  <si>
    <t>Chủng loại</t>
  </si>
  <si>
    <t>Cự ly (tính từ Mỏ đá Đồng Mỏ)</t>
  </si>
  <si>
    <t>v/c</t>
  </si>
  <si>
    <t>Mỏ đá Vĩnh Thịnh, Cai Kinh</t>
  </si>
  <si>
    <t>Mỏ đá Đồng Mỏ</t>
  </si>
  <si>
    <t>ĐVT</t>
  </si>
  <si>
    <t>Má §ång tiÕn (thay doi)</t>
  </si>
  <si>
    <t>Đá dăm cấp phối loại I (Base)</t>
  </si>
  <si>
    <t>Đá dăm cấp phối loại II (Subbase)</t>
  </si>
  <si>
    <t>Vôi</t>
  </si>
  <si>
    <t>Vôi bột</t>
  </si>
  <si>
    <t>''</t>
  </si>
  <si>
    <t>"</t>
  </si>
  <si>
    <t>GIÁ BÁN TẠI NƠI SẢN XUẤT</t>
  </si>
  <si>
    <t>3. SẢN PHẨM CỦA CÔNG TY CỔ PHẦN BÊ TÔNG VÀ XÂY DỰNG BẮC GIANG</t>
  </si>
  <si>
    <t>TÊN SẢN PHẨM</t>
  </si>
  <si>
    <t>ĐƠN GIÁ (Đ)</t>
  </si>
  <si>
    <t>CỘT LY TÂM</t>
  </si>
  <si>
    <t>CỘT - LT 8A</t>
  </si>
  <si>
    <t>Chiếc</t>
  </si>
  <si>
    <t>CỘT - LT8B</t>
  </si>
  <si>
    <t>CỘT - LT8.5A</t>
  </si>
  <si>
    <t>Căn cứ giá thực tế qua khảo sát trên địa bàn các huyện, thành phố BG</t>
  </si>
  <si>
    <t>CỘT - LT8.5B</t>
  </si>
  <si>
    <t>CỘT - LT8.5C</t>
  </si>
  <si>
    <t>CỘT - LT10A</t>
  </si>
  <si>
    <t>CỘT - LT10B</t>
  </si>
  <si>
    <t>CỘT - LT10C</t>
  </si>
  <si>
    <t>CỘT - LT10D</t>
  </si>
  <si>
    <t>CỘT - LT12A</t>
  </si>
  <si>
    <t>CỘT - LT12B</t>
  </si>
  <si>
    <t>CỘT - LT12C</t>
  </si>
  <si>
    <t>CỘT - LT 14B (G6-N8)</t>
  </si>
  <si>
    <t>CỘT - LT14C (G6-N8)</t>
  </si>
  <si>
    <t>CỘT - LT14D (G6-N8)</t>
  </si>
  <si>
    <t>CỘT - LT16B (G6-N10)</t>
  </si>
  <si>
    <t>CỘT - LT16C (G6-N10)</t>
  </si>
  <si>
    <t>CỘT - LT16D (G6-N10)</t>
  </si>
  <si>
    <t>CỘT - LT18B (G8-N10)</t>
  </si>
  <si>
    <t>CỘT - LT18C (G8-N10)</t>
  </si>
  <si>
    <t>CỘT - LT18D (G8-N10)</t>
  </si>
  <si>
    <t>CỘT - LT20B (G10-N10)</t>
  </si>
  <si>
    <t>CỘT - LT20C (G10-N10)</t>
  </si>
  <si>
    <t>CỘT - LT20D (G10-N10)</t>
  </si>
  <si>
    <t>CỘT H - BƯU ĐIỆN</t>
  </si>
  <si>
    <t>CỘT H</t>
  </si>
  <si>
    <t>CỘT H6,5A - 230 daN</t>
  </si>
  <si>
    <t>CỘT H6,5B - 360 daN</t>
  </si>
  <si>
    <t>CỘT H6,5C - 460 daN</t>
  </si>
  <si>
    <t>CỘT H7,5A - 230 daN</t>
  </si>
  <si>
    <t>CỘT H7,5B - 360 daN</t>
  </si>
  <si>
    <t>CỘT H7,5C - 460 daN</t>
  </si>
  <si>
    <t>CỘT H8,5A - 230 daN</t>
  </si>
  <si>
    <t>CỘT H8,5B - 360 daN</t>
  </si>
  <si>
    <t>CỘT H8,5C - 460 daN</t>
  </si>
  <si>
    <t>CỐNG LY TÂM KIỂU MIỆNG BÁT</t>
  </si>
  <si>
    <t xml:space="preserve">CỐNG LT 300A </t>
  </si>
  <si>
    <t>Mét</t>
  </si>
  <si>
    <t>CỐNG LT 300B</t>
  </si>
  <si>
    <t>CỐNG LT 300C</t>
  </si>
  <si>
    <t>CỐNG LT 400A</t>
  </si>
  <si>
    <t>CỐNG LT 400B</t>
  </si>
  <si>
    <t>CỐNG LT 400C</t>
  </si>
  <si>
    <t>CỐNG LT 600A</t>
  </si>
  <si>
    <t>CỐNG LT 600B</t>
  </si>
  <si>
    <t>CỐNG LT 600C</t>
  </si>
  <si>
    <t>CỐNG LT 600D</t>
  </si>
  <si>
    <t>LT 600A</t>
  </si>
  <si>
    <t>LT 600B</t>
  </si>
  <si>
    <t>LT 600C</t>
  </si>
  <si>
    <t>LT 600D</t>
  </si>
  <si>
    <t>LT 750A</t>
  </si>
  <si>
    <t>LT 750B</t>
  </si>
  <si>
    <t>LT 750C</t>
  </si>
  <si>
    <t>LT 800A</t>
  </si>
  <si>
    <t>LT 800B</t>
  </si>
  <si>
    <t>LT 800C</t>
  </si>
  <si>
    <t>LT 800D</t>
  </si>
  <si>
    <t>LT 1000A</t>
  </si>
  <si>
    <t>LT 1000B</t>
  </si>
  <si>
    <t>LT 1000C</t>
  </si>
  <si>
    <t>CỐNG KHÔNG CỐT THÉP</t>
  </si>
  <si>
    <t>TC 200</t>
  </si>
  <si>
    <t>TC 300</t>
  </si>
  <si>
    <t>TC 400</t>
  </si>
  <si>
    <t>TC 600</t>
  </si>
  <si>
    <t>CỐNG THỦ CÔNG- CÓ CỐT THÉP</t>
  </si>
  <si>
    <t>TC 1200 B</t>
  </si>
  <si>
    <t>TC 1250A</t>
  </si>
  <si>
    <t>TC 1250B</t>
  </si>
  <si>
    <t>TC 1250C</t>
  </si>
  <si>
    <t>TC 1250D</t>
  </si>
  <si>
    <t>Gạch xi măng 30 x 30</t>
  </si>
  <si>
    <t>Giá các sản phẩm của Công ty CPBT Bắc Giang tăng giá</t>
  </si>
  <si>
    <t xml:space="preserve">TC 2500 </t>
  </si>
  <si>
    <t>PANEL TK87</t>
  </si>
  <si>
    <t>SẢN PHẨM KHÁC</t>
  </si>
  <si>
    <t>Bê tông xốp</t>
  </si>
  <si>
    <t>viên</t>
  </si>
  <si>
    <t>BÊ TÔNG TP</t>
  </si>
  <si>
    <t>M150 ĐS8</t>
  </si>
  <si>
    <t>M200 ĐS 6- 8</t>
  </si>
  <si>
    <t>M200 ĐS12-14</t>
  </si>
  <si>
    <t>M200 ĐS18</t>
  </si>
  <si>
    <t>M250 ĐS8</t>
  </si>
  <si>
    <t>M250 ĐS12</t>
  </si>
  <si>
    <t>M300 ĐS8</t>
  </si>
  <si>
    <t>M300 ĐS12-14</t>
  </si>
  <si>
    <t>TT</t>
  </si>
  <si>
    <t>m</t>
  </si>
  <si>
    <t>*</t>
  </si>
  <si>
    <t>cét - lt8B</t>
  </si>
  <si>
    <t>cét - Lt8.5a</t>
  </si>
  <si>
    <t>cét - Lt8.5b</t>
  </si>
  <si>
    <t>cét - Lt8.5C</t>
  </si>
  <si>
    <t>cét - LT10A</t>
  </si>
  <si>
    <t>cét - lT10B</t>
  </si>
  <si>
    <t>cét - lt10c</t>
  </si>
  <si>
    <t>cét - lt10D</t>
  </si>
  <si>
    <t>cét - lt12A</t>
  </si>
  <si>
    <t>cét - lt12B</t>
  </si>
  <si>
    <t>cét - lt12c</t>
  </si>
  <si>
    <t>ChiÕc</t>
  </si>
  <si>
    <t>cái</t>
  </si>
  <si>
    <t>cét - lt 8a</t>
  </si>
  <si>
    <t>cét - LT 14B (g6-n8)</t>
  </si>
  <si>
    <t>cét - lt14c (g6-n8)</t>
  </si>
  <si>
    <t>cét - lt14D (g6-n8)</t>
  </si>
  <si>
    <t>cét - lt16b (g6-n10)</t>
  </si>
  <si>
    <t>cét - lt16c (g6-n10)</t>
  </si>
  <si>
    <t>cét - lt16d (g6-n10)</t>
  </si>
  <si>
    <t>cét - lt18b (g8-n10)</t>
  </si>
  <si>
    <t>cét - lt18c (g8-n10)</t>
  </si>
  <si>
    <t>cét - lt18d (g8-n10)</t>
  </si>
  <si>
    <t>cét - lt20b (g10-n10)</t>
  </si>
  <si>
    <t>cét - lt20c (g10-n10)</t>
  </si>
  <si>
    <t>cét - lt20d (g10-n10)</t>
  </si>
  <si>
    <t xml:space="preserve">cét h </t>
  </si>
  <si>
    <t>h5</t>
  </si>
  <si>
    <t>h6</t>
  </si>
  <si>
    <t>h7</t>
  </si>
  <si>
    <t>h8</t>
  </si>
  <si>
    <t>cét h - b­u ®iÖn</t>
  </si>
  <si>
    <t>h5b</t>
  </si>
  <si>
    <t xml:space="preserve">h6b </t>
  </si>
  <si>
    <t>H6,5B</t>
  </si>
  <si>
    <t>Cét H</t>
  </si>
  <si>
    <t xml:space="preserve">Cèng LT 300A </t>
  </si>
  <si>
    <t>MÐt</t>
  </si>
  <si>
    <t>Cèng LT 300B</t>
  </si>
  <si>
    <t>Cèng LT 300C</t>
  </si>
  <si>
    <t>Cèng LT 400A</t>
  </si>
  <si>
    <t>Cèng LT 400B</t>
  </si>
  <si>
    <t>Cèng LT 400C</t>
  </si>
  <si>
    <t>Cèng LT 600A</t>
  </si>
  <si>
    <t>Cèng LT 600B</t>
  </si>
  <si>
    <t>Cèng LT 600C</t>
  </si>
  <si>
    <t>Cèng LT 600D</t>
  </si>
  <si>
    <t>lt 600a</t>
  </si>
  <si>
    <t>Lt 600b</t>
  </si>
  <si>
    <t>LT 600c</t>
  </si>
  <si>
    <t>Lt 600d</t>
  </si>
  <si>
    <t>Lt 750a</t>
  </si>
  <si>
    <t>lt 750b</t>
  </si>
  <si>
    <t>lt 750c</t>
  </si>
  <si>
    <t>lt 750d</t>
  </si>
  <si>
    <t>lt 800a</t>
  </si>
  <si>
    <t>lt 800b</t>
  </si>
  <si>
    <t>lt 800c</t>
  </si>
  <si>
    <t>lt 800d</t>
  </si>
  <si>
    <t>lt 1000a</t>
  </si>
  <si>
    <t>lt 1000b</t>
  </si>
  <si>
    <t>lt 1000c</t>
  </si>
  <si>
    <t>lt 1000d</t>
  </si>
  <si>
    <t>tc 200</t>
  </si>
  <si>
    <t>tc 300</t>
  </si>
  <si>
    <t>tc 400</t>
  </si>
  <si>
    <t>tc 600</t>
  </si>
  <si>
    <t>tc 750a</t>
  </si>
  <si>
    <t>tc 1000a</t>
  </si>
  <si>
    <t>tc 1200 B</t>
  </si>
  <si>
    <t>tc 1250a</t>
  </si>
  <si>
    <t>tc 1250B</t>
  </si>
  <si>
    <t>tc 1250c</t>
  </si>
  <si>
    <t>tc 1250d</t>
  </si>
  <si>
    <t xml:space="preserve">tc 1500a </t>
  </si>
  <si>
    <t>tc 1500b</t>
  </si>
  <si>
    <t xml:space="preserve">tc 1500c </t>
  </si>
  <si>
    <t xml:space="preserve">tc 1500d </t>
  </si>
  <si>
    <r>
      <t>tc 1500C (</t>
    </r>
    <r>
      <rPr>
        <sz val="11"/>
        <rFont val=".VnTime"/>
        <family val="2"/>
      </rPr>
      <t>dÇy 15cm)</t>
    </r>
  </si>
  <si>
    <t xml:space="preserve">tc 2500 </t>
  </si>
  <si>
    <t>Panel TK87</t>
  </si>
  <si>
    <t>3.3 - 6/2</t>
  </si>
  <si>
    <t>tÊm</t>
  </si>
  <si>
    <t>3.3 - 45/2</t>
  </si>
  <si>
    <t>3.6 - 6/2</t>
  </si>
  <si>
    <t>3.6 - 45/2</t>
  </si>
  <si>
    <t>3.6 - 6/3</t>
  </si>
  <si>
    <t>3.6 - 45/3</t>
  </si>
  <si>
    <t>3.9 - 6/2</t>
  </si>
  <si>
    <t>3.9 - 45/2</t>
  </si>
  <si>
    <t>3.9 - 6/3</t>
  </si>
  <si>
    <t>3.9 - 45/3</t>
  </si>
  <si>
    <t>4.2 - 6/2</t>
  </si>
  <si>
    <t>4.2 - 45/2</t>
  </si>
  <si>
    <t>4.2 - 6/3</t>
  </si>
  <si>
    <t>4.2 - 45/3</t>
  </si>
  <si>
    <t>4.5 - 6/2</t>
  </si>
  <si>
    <t>4.5 - 45/2</t>
  </si>
  <si>
    <t>Bª t«ng Xèp</t>
  </si>
  <si>
    <t>viªn</t>
  </si>
  <si>
    <t>G¹ch 30X30</t>
  </si>
  <si>
    <t>Bª t«ng tp</t>
  </si>
  <si>
    <t>M150 ®s8</t>
  </si>
  <si>
    <t>m3</t>
  </si>
  <si>
    <t>M200 ®s 6- 8</t>
  </si>
  <si>
    <t>M200 ®s12-14</t>
  </si>
  <si>
    <t>M200 ®s18</t>
  </si>
  <si>
    <t>M250 ®s8</t>
  </si>
  <si>
    <t>M250 ®s12</t>
  </si>
  <si>
    <t>M300 ®s8</t>
  </si>
  <si>
    <t>M300 ®s12-14</t>
  </si>
  <si>
    <t>M300 ®s18</t>
  </si>
  <si>
    <t>s¶n phÈm kh¸c</t>
  </si>
  <si>
    <t>tt</t>
  </si>
  <si>
    <t>Tªn s¶n phÈm</t>
  </si>
  <si>
    <t>§VT</t>
  </si>
  <si>
    <t>träng l­îng</t>
  </si>
  <si>
    <t>®¬n gi¸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</si>
  <si>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</si>
  <si>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</si>
  <si>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</si>
  <si>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</si>
  <si>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</si>
  <si>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</si>
  <si>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</si>
  <si>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</si>
  <si>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</si>
  <si>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</si>
  <si>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</si>
  <si>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cèng KH¤NG CèT THÐP</t>
  </si>
  <si>
    <t>cèng THñ C¤NG- Cã CèT THÐP</t>
  </si>
  <si>
    <t>cèng LY T¢M</t>
  </si>
  <si>
    <t>Cèng lY T¢M KIÓU MIÖNG B¸T</t>
  </si>
  <si>
    <t>cét lY T¢M</t>
  </si>
  <si>
    <t>Cửa các loại</t>
  </si>
  <si>
    <t>m2</t>
  </si>
  <si>
    <t>Bắc
 Giang</t>
  </si>
  <si>
    <t>Việt 
Yên</t>
  </si>
  <si>
    <t>Hiệp 
Hoà</t>
  </si>
  <si>
    <t>Tân
 Yên</t>
  </si>
  <si>
    <t>Yên
 Dũng</t>
  </si>
  <si>
    <t>Lạng 
 Giang</t>
  </si>
  <si>
    <t>Lục 
Nam</t>
  </si>
  <si>
    <t>Yên
 Thế</t>
  </si>
  <si>
    <t>Lục 
Ngạn</t>
  </si>
  <si>
    <t>Sơn 
Động</t>
  </si>
  <si>
    <t>GI¸ B¸N T¹I N¥I S¶N XUÊT</t>
  </si>
  <si>
    <t>cây</t>
  </si>
  <si>
    <t xml:space="preserve">G¹ch bª t«ng 2 lç </t>
  </si>
  <si>
    <t>G¹ch bª t«ng ®Æc</t>
  </si>
  <si>
    <t xml:space="preserve">G¹ch bª t«ng 3 lç </t>
  </si>
  <si>
    <t>Viªn</t>
  </si>
  <si>
    <t>1. C«ng ty TNHH ph¸t ®¹t (ViÖt yªn)</t>
  </si>
  <si>
    <t>60x105x220</t>
  </si>
  <si>
    <t>100x140x290</t>
  </si>
  <si>
    <t>quy c¸ch</t>
  </si>
  <si>
    <t>2. S¶N PHÈM CñA c«ng ty cæ phÇn bª t«ng vµ x©y dùng b¾c giang</t>
  </si>
  <si>
    <t>100x105x220</t>
  </si>
  <si>
    <r>
      <t xml:space="preserve">Cét H6,5A - 230 </t>
    </r>
    <r>
      <rPr>
        <sz val="12"/>
        <rFont val=".VnTime"/>
        <family val="2"/>
      </rPr>
      <t>daN</t>
    </r>
  </si>
  <si>
    <r>
      <t>Cét H6,5B - 360</t>
    </r>
    <r>
      <rPr>
        <sz val="12"/>
        <rFont val=".VnTime"/>
        <family val="2"/>
      </rPr>
      <t xml:space="preserve"> daN</t>
    </r>
  </si>
  <si>
    <t xml:space="preserve"> cát đổ bê tông  giảm mạnh (nước sông lớn)</t>
  </si>
  <si>
    <t>Gạch xây: Giá thủ công giảm</t>
  </si>
  <si>
    <t xml:space="preserve">Gạch ốp lát: Thay đổi tăng về giá gạch Granit Thạch Bàn giảm (theo Thị trường giá cả vật tư của Bộ Công thương số 15 ngày 21/1/2010) </t>
  </si>
  <si>
    <t xml:space="preserve">Thép ticco, ống thép toàn phúc giảm </t>
  </si>
  <si>
    <t>CĂN CỨ LẬP CÔNG BỐ GIÁ VLXD THÁNG 5/2010</t>
  </si>
  <si>
    <t>Cửa xếp, hoa sắt, cửa nhôm:  giảm</t>
  </si>
  <si>
    <t>thiet bị diẹn ro man tăng</t>
  </si>
  <si>
    <t>H5 BĐ</t>
  </si>
  <si>
    <t xml:space="preserve">H6 BĐ </t>
  </si>
  <si>
    <t>H6,5 BĐ</t>
  </si>
  <si>
    <t>CỘT H6A - 230 daN</t>
  </si>
  <si>
    <t>CỘT H6B - 230 daN</t>
  </si>
  <si>
    <t>CỘT H6C - 230 daN</t>
  </si>
  <si>
    <t>CỘT H7A - 230 daN</t>
  </si>
  <si>
    <t>CỘT H7B - 230 daN</t>
  </si>
  <si>
    <t>CỘT H7C - 230 daN</t>
  </si>
  <si>
    <t>CỘT H8A - 230 daN</t>
  </si>
  <si>
    <t>CỘT H8B - 230 daN</t>
  </si>
  <si>
    <t>CỘT H8C - 230 daN</t>
  </si>
  <si>
    <t>TC 750</t>
  </si>
  <si>
    <t>TC 1000</t>
  </si>
  <si>
    <t>TC 1200 A</t>
  </si>
  <si>
    <t>TC 1200 C</t>
  </si>
  <si>
    <t>Cửa kính gỗ nhóm II (kính màu dày 5 mm )</t>
  </si>
  <si>
    <t>Cửa panô chớp gỗ nhóm II</t>
  </si>
  <si>
    <t>Tấm lợp Fibrôximăng:</t>
  </si>
  <si>
    <t>CỐNG LT 750A</t>
  </si>
  <si>
    <t>CỐNG LT 750B</t>
  </si>
  <si>
    <t>CỐNG LT 750C</t>
  </si>
  <si>
    <t>TC 1500A (dày 12cm)</t>
  </si>
  <si>
    <t>TC 1500B (dày 12cm)</t>
  </si>
  <si>
    <t>TC 1500C (dày 12cm)</t>
  </si>
  <si>
    <t>TC 1500D (dày 12cm)</t>
  </si>
  <si>
    <t>TC 1500A (dày 15cm)</t>
  </si>
  <si>
    <t>TC 1500B (dày 15cm)</t>
  </si>
  <si>
    <t>TC 1500C (dày 15cm)</t>
  </si>
  <si>
    <t>TC 1500D (dày 15cm)</t>
  </si>
  <si>
    <t>Vỉa hè vát (KT: 0,23x0,26x1m)</t>
  </si>
  <si>
    <t>ĐẾ CỐNG</t>
  </si>
  <si>
    <t>Đế cống 300</t>
  </si>
  <si>
    <t>Đế cống 400</t>
  </si>
  <si>
    <t>Đế cống 600</t>
  </si>
  <si>
    <t>Đế cống 800</t>
  </si>
  <si>
    <t>Đế cống 1000</t>
  </si>
  <si>
    <t>Đế cống 1250</t>
  </si>
  <si>
    <t>Đế cống 1500</t>
  </si>
  <si>
    <t>XII</t>
  </si>
  <si>
    <t>chiếc</t>
  </si>
  <si>
    <t>Gỗ các loại</t>
  </si>
  <si>
    <t>Gỗ cốp pha (loại dài 1,8-2,2m)</t>
  </si>
  <si>
    <t xml:space="preserve">Cửa panô gỗ nhóm IV,V    </t>
  </si>
  <si>
    <t>Khung cửa gỗ nhóm II</t>
  </si>
  <si>
    <t>Loại (6x12)cm</t>
  </si>
  <si>
    <t>Tấm lợp Fibrôximăng úp nóc</t>
  </si>
  <si>
    <t>kg</t>
  </si>
  <si>
    <t xml:space="preserve">Cột điện chữ H </t>
  </si>
  <si>
    <t>cột</t>
  </si>
  <si>
    <t>Cột H 7,5A, TL 565kg/cột</t>
  </si>
  <si>
    <t>Cột H 7,5B, TL 576 kg/cột</t>
  </si>
  <si>
    <t>Cột H 7,5C, TL 580 kg/cột</t>
  </si>
  <si>
    <t>Cột H 8,5A, TL 660 kg/cột</t>
  </si>
  <si>
    <t>Cột H 8,5B, TL 672 kg/cột</t>
  </si>
  <si>
    <t>Cột H 8,5C, TL 685 kg/cột</t>
  </si>
  <si>
    <t>Cột điện bê tông ly tâm</t>
  </si>
  <si>
    <t>Sơn hãng VIGLACERA</t>
  </si>
  <si>
    <t>Bột bả Viglacera nội thất cao cấp (40kg/bao)</t>
  </si>
  <si>
    <t xml:space="preserve">Bột bả Viglacera ngoại thất cao cấp (40kg/bao) </t>
  </si>
  <si>
    <t>Sơn lót  VT 8000 Viglacera-PRIMER.INT (22kg/thùng)</t>
  </si>
  <si>
    <t>Sơn lót  VN 8000 Viglacera-PRIMER.EXT (22kg/thùng)</t>
  </si>
  <si>
    <t>Sơn trong nhà VT1111 Viglacera-SUPPER WHITE (22kg/thùng)</t>
  </si>
  <si>
    <t>Sơn ngoài VN2…Viglacera-GOLD.EXT (24kg/thùng)</t>
  </si>
  <si>
    <t>Sơn chống thấm CT16 Viglacera- CT16 (20kg/thùng)</t>
  </si>
  <si>
    <t>Giá bán tại thành phố Lạng Sơn</t>
  </si>
  <si>
    <t>Sơn hãng KOVA</t>
  </si>
  <si>
    <t>bộ</t>
  </si>
  <si>
    <t>Loại: 10A-1P; 16A-1P; 20A-1P; 25A-1P; 32A-1P; 40A-1P</t>
  </si>
  <si>
    <t>Loại: 50A-1P; 60A-1P</t>
  </si>
  <si>
    <t>Loại: 10A-2P; 16A-2P; 20A-2P; 25A-2P; 32A-2P; 40A-2P</t>
  </si>
  <si>
    <t>Loại 50A-2P</t>
  </si>
  <si>
    <t>Loại 50A-3P</t>
  </si>
  <si>
    <t>Loại 63A-2P</t>
  </si>
  <si>
    <t>Loại 10A; 15A; 20A; 30A</t>
  </si>
  <si>
    <t>Công tắc điện CLIPSAL Việt Nam</t>
  </si>
  <si>
    <t>Loại 1 công tắc</t>
  </si>
  <si>
    <t>Loại 2 công tắc</t>
  </si>
  <si>
    <t>Loại 3 công tắc</t>
  </si>
  <si>
    <t>Loại 4 công tác</t>
  </si>
  <si>
    <t>Loại 1 ổ cắm</t>
  </si>
  <si>
    <t>Loại 2 ổ căm</t>
  </si>
  <si>
    <t>Công tắc liền ổ cắm CLIPSAL Việt Nam</t>
  </si>
  <si>
    <t>Loại 1 công tắc + 1 ổ cắm</t>
  </si>
  <si>
    <t>Loại 2 công tắc + 1 ổ cắm</t>
  </si>
  <si>
    <t>Khung cửa gỗ nhóm IV,V</t>
  </si>
  <si>
    <t>Loại bồn đứng, mã hiệu TA 1000D</t>
  </si>
  <si>
    <t>Loại bồn đứng, mã hiệu TA 1500D</t>
  </si>
  <si>
    <t>Loại bồn đứng, mã hiệu TA 2000D</t>
  </si>
  <si>
    <t>Loại bồn đứng, mã hiệu TA 3000D</t>
  </si>
  <si>
    <t>Sơn lót  kháng kiềm trong nhà  và ngoài trời CK241(22kg/thùng)</t>
  </si>
  <si>
    <t>Sứ  đứng 35KV đường rò 720mm (PI35KV)</t>
  </si>
  <si>
    <t>Sứ  đứng 35KV đường rò 720mm-CMB</t>
  </si>
  <si>
    <t>Sứ  đứng 35KV đường rò 770mm (PI 45KV)</t>
  </si>
  <si>
    <t>Sứ  đứng 35KV đường rò 875</t>
  </si>
  <si>
    <t>Sứ  đứng 35KV loại Lineost + Ty</t>
  </si>
  <si>
    <t>Sứ  đứng 35KV loại Pineost + Ty</t>
  </si>
  <si>
    <t>Sứ  đứng 24KV đường dò 600mm-CSM</t>
  </si>
  <si>
    <t>Sứ  đứng 24KV đường dò 550mm-CON</t>
  </si>
  <si>
    <t>Sứ  đứng 24KV đường dò 630mm-CSM</t>
  </si>
  <si>
    <t>Sứ  đứng 24KV đường dò 540mm-CON(RE24)</t>
  </si>
  <si>
    <t>Sứ  đứng 24KV đường dò 460mm-CON(RE24)</t>
  </si>
  <si>
    <t>Sứ  đứng 24KV loại Lineost + Ty</t>
  </si>
  <si>
    <t>Sứ  đứng 24KV loại Pineost + Ty</t>
  </si>
  <si>
    <t>Sứ  đứng 15KV ((SĐD 15KV)</t>
  </si>
  <si>
    <t>Sứ  đứng 24KV(SĐD 24KV)</t>
  </si>
  <si>
    <t>Sứ chằng nhỏ</t>
  </si>
  <si>
    <t>Sứ chằng lớn</t>
  </si>
  <si>
    <t>Sứ ống Chi</t>
  </si>
  <si>
    <t>Sứ ống chỉ lớn</t>
  </si>
  <si>
    <t>Sứ ống co</t>
  </si>
  <si>
    <t>Sứ ống thẳng</t>
  </si>
  <si>
    <t>Cầu trì trời 60A+bulong+ecu(VL=Đồng)</t>
  </si>
  <si>
    <t>Cầu trì trời 100A + bulong + ecu (VL=Đồng)</t>
  </si>
  <si>
    <t>Đơn vị tính</t>
  </si>
  <si>
    <t xml:space="preserve">Xi măng đóng bao các loại </t>
  </si>
  <si>
    <t>GIÁ BÁN TẠI TRUNG TÂM CÁC HUYỆN VÀ THÀNH PHỐ</t>
  </si>
  <si>
    <t xml:space="preserve">Sứ cách điên </t>
  </si>
  <si>
    <t>Sơn hãng ALKAZA</t>
  </si>
  <si>
    <t>Sơn trong nhà VA9…VANET-5IN1 (23kg/thùng)</t>
  </si>
  <si>
    <t>Bột bả Alkaza cao cấp trong nhà (40kg/bao)</t>
  </si>
  <si>
    <t>Bột bả Alkaza chống thấm cao cấp ngoài nhà (40kg/bao)</t>
  </si>
  <si>
    <t>Ống nhựa SP (Giá bán đến chân công trình trong địa bàn tỉnh Lạng Sơn)</t>
  </si>
  <si>
    <t>Cút góc PPR ren trong PPR D20x1/2</t>
  </si>
  <si>
    <t>Sơn mịn trong nhà màu trắng VS116 (23kg/thùng)</t>
  </si>
  <si>
    <t>Sơn mịn trong nhà màu thường VS116 (23kg/thùng)</t>
  </si>
  <si>
    <t>Sơn bóng mờ trong nhà màu trắng VS124 (20kg/thùng)</t>
  </si>
  <si>
    <t>Sơn mịn ngoài trời màu trắng HS312 (22kg/thùng)</t>
  </si>
  <si>
    <t>Sơn mịn ngoài trời màu thường HS312 (22kg/thùng)</t>
  </si>
  <si>
    <t>Sơn bóng mờ trong nhà màu thường VS124 (20kg/thùng)</t>
  </si>
  <si>
    <t>Sơn bóng cao cấp ngoài trời màu trắng BS315 (20kg/thùng)</t>
  </si>
  <si>
    <t>Sơn bóng cao cấp ngoài trời màu thường BS315 (20kg/thùng)</t>
  </si>
  <si>
    <t>Chất chống thấm trộn xi măng DS600 (20kg/thùng)</t>
  </si>
  <si>
    <t>Ống uPVC D42x2.1mm C2</t>
  </si>
  <si>
    <t>Ống uPVC D110x3.2mm C2</t>
  </si>
  <si>
    <t>Cút chữ T uPVC D42</t>
  </si>
  <si>
    <t>mét</t>
  </si>
  <si>
    <t>Cút chữ T uPVC D110</t>
  </si>
  <si>
    <t>Cút góc uPVC D42</t>
  </si>
  <si>
    <t>Cút góc uPVC D110</t>
  </si>
  <si>
    <t>Ống nước lạnh PPR - PN10 D20x2.3mm</t>
  </si>
  <si>
    <t>Ống nước lạnh PPR - PN10 D63x5.8mm</t>
  </si>
  <si>
    <t>Ống nước lạnh PPR - PN16 D20x2.8mm</t>
  </si>
  <si>
    <t>Ống nước lạnh PPR - PN16 D25x3.5mm</t>
  </si>
  <si>
    <t>Ống nước nóng PPR - PN20 D20x3.4mm</t>
  </si>
  <si>
    <t>Khớp nối PPR ren trong D20x1/2</t>
  </si>
  <si>
    <t>Cút tê PPR ren trong D20x1x2</t>
  </si>
  <si>
    <t>Van tay vặn PPR D20</t>
  </si>
  <si>
    <t>Van tay vặn PPR D63</t>
  </si>
  <si>
    <t>Đá (19 x 25) mm</t>
  </si>
  <si>
    <t>DANH MỤC NHÓM CÁC LOẠI VẬT LIỆU CHỦ YẾU 
(Q.cách - TCKT - Ký,mã hiệu)</t>
  </si>
  <si>
    <t>Bắc Sơn</t>
  </si>
  <si>
    <t>Mỏ đá Lùng Khứ, xã Hưng Vũ</t>
  </si>
  <si>
    <t>Loại bồn đứng, mã hiệu TA 500</t>
  </si>
  <si>
    <t>Loại bồn đứng, mã hiệu TA 1000</t>
  </si>
  <si>
    <t>Loại bồn đứng, mã hiệu TA 2000</t>
  </si>
  <si>
    <t>Đá cho bê tông nhựa lớp trên</t>
  </si>
  <si>
    <t>Cửa panô chớp gỗ lim</t>
  </si>
  <si>
    <t>Giá trên chỉ áp dụng cho sơn trắng, nếu pha màu thì tính thêm tiền màu như sau</t>
  </si>
  <si>
    <t>Ống uPVC</t>
  </si>
  <si>
    <t>DN 21 x 1,0 - PN 6 - Thoát</t>
  </si>
  <si>
    <t>DN 21 x 1,6 - PN 16 - C2</t>
  </si>
  <si>
    <t>DN 27 x 1,0 PN 6 - Thoát</t>
  </si>
  <si>
    <t>DN 27 x 1,6 PN 12,5 - C1</t>
  </si>
  <si>
    <t>DN 27 x 2,0 PN 16 - C2</t>
  </si>
  <si>
    <t>DN 34 x 1,0 - PN 6 - Thoát</t>
  </si>
  <si>
    <t>DN 34 x 1,7 - PN 10 - C1</t>
  </si>
  <si>
    <t>DN 34 x 2,0 - PN 12,5 - C2</t>
  </si>
  <si>
    <t>DN 42 x 1,2 - PN 5 - Thoát</t>
  </si>
  <si>
    <t>DN 42 x 1,7 - PN 8 - C1</t>
  </si>
  <si>
    <t>DN 42 x 2,0 - PN 10 - C2</t>
  </si>
  <si>
    <t>DN 48 x 1,4 - PN 5 - Thoát</t>
  </si>
  <si>
    <t>DN 48 x 1,9 - PN8 - C1</t>
  </si>
  <si>
    <t>DN 48 x 2,3 - PN10 - C2</t>
  </si>
  <si>
    <t>DN 60 x 1,4 - PN5 - Thoát</t>
  </si>
  <si>
    <t>DN 60 x 1,9 - PN6 - C1</t>
  </si>
  <si>
    <t>DN 60 x 2,3 - PN8 - C2</t>
  </si>
  <si>
    <t>DN 75 x 1,5 - PN 4 - Thoát</t>
  </si>
  <si>
    <t>DN 75 x 1,9 - PN5 - C0</t>
  </si>
  <si>
    <t>DN 75 x 2,3 - PN 6 - C1</t>
  </si>
  <si>
    <t>DN 75 x 2,9 - PN 8 - C2</t>
  </si>
  <si>
    <t>DN 75 x 3,6 - PN 10 - C3</t>
  </si>
  <si>
    <t>DN 90 x 1,5 - PN 3 - Thoát</t>
  </si>
  <si>
    <t>DN 90 x 1,8 - PN 4 - C0</t>
  </si>
  <si>
    <t>DN 90 x 2,2 - PN 5 - C1</t>
  </si>
  <si>
    <t>DN 90 x 3,5 - PN 8 - C3</t>
  </si>
  <si>
    <t>DN 110 x 1,8 - PN4 - Thoát</t>
  </si>
  <si>
    <t>DN 110 x 2,2 - PN5 - C0</t>
  </si>
  <si>
    <t>DN 110 x 2,7 - PN 6 - C1</t>
  </si>
  <si>
    <t>DN 110 x 3,4 - PN 8 - C2</t>
  </si>
  <si>
    <t>DN 110 x 4,2 - PN 10 - C3</t>
  </si>
  <si>
    <t>DN 200 x 6,2 - PN 8 - C2</t>
  </si>
  <si>
    <t>DN 200 x 7,7 - PN 10 - C3</t>
  </si>
  <si>
    <t>Ống HDPE</t>
  </si>
  <si>
    <t>DN20 x 2,0 PN 16,0</t>
  </si>
  <si>
    <t>DN20 x 2,3 PN 20,0</t>
  </si>
  <si>
    <t>DN25 x 2,0 PN 12,5</t>
  </si>
  <si>
    <t>DN25 x 2,3 PN 16,0</t>
  </si>
  <si>
    <t>DN25 x 3,0 PN 20,0</t>
  </si>
  <si>
    <t>DN32 x 2,0 PN 10</t>
  </si>
  <si>
    <t>DN32 x 2,4 PN 12,5</t>
  </si>
  <si>
    <t>DN32 x 3,6 PN 20,0</t>
  </si>
  <si>
    <t>DN40 x 2,0 PN 8</t>
  </si>
  <si>
    <t>DN40 x 2,4 PN 10,0</t>
  </si>
  <si>
    <t>DN40 x 3,0 PN 12,5</t>
  </si>
  <si>
    <t>DN40 x 3,7 PN 16,0</t>
  </si>
  <si>
    <t>DN40 x 4,5 PN 20,0</t>
  </si>
  <si>
    <t>DN50 x 2,4 PN 8</t>
  </si>
  <si>
    <t>DN50 x 3,0 PN 10</t>
  </si>
  <si>
    <t>DN50 x 3,7 PN 12,5</t>
  </si>
  <si>
    <t>DN50 x 4,6 PN 16,0</t>
  </si>
  <si>
    <t>DN50 x 5,6 PN 20</t>
  </si>
  <si>
    <t>DN63 x 3,0 PN 8</t>
  </si>
  <si>
    <t>DN63 x 3,8 PN 10</t>
  </si>
  <si>
    <t>DN63 x 4,7 PN 12,5</t>
  </si>
  <si>
    <t>DN63 x 5,8 PN 16</t>
  </si>
  <si>
    <t>DN63 x 7,1 PN 20,0</t>
  </si>
  <si>
    <t>DN75 x 3,6 PN 8</t>
  </si>
  <si>
    <t>DN75 x 4,5 PN 10</t>
  </si>
  <si>
    <t>DN75 x 5,6 PN 12,5</t>
  </si>
  <si>
    <t>DN75 x 6,8 PN 16</t>
  </si>
  <si>
    <t>DN75 x 8,4 PN 20</t>
  </si>
  <si>
    <t>DN90 x 4,3 PN 8</t>
  </si>
  <si>
    <t>DN90 x 5,4 PN 10</t>
  </si>
  <si>
    <t>DN90 x 6,7 PN 12,5</t>
  </si>
  <si>
    <t>DN90 x 8,2 PN 16</t>
  </si>
  <si>
    <t>DN110 x 4,2 PN 6</t>
  </si>
  <si>
    <t>DN110 x 5,3 PN 8</t>
  </si>
  <si>
    <t>DN110 x 6,6 PN 10</t>
  </si>
  <si>
    <t>DN110 x 8,1 PN 12,5</t>
  </si>
  <si>
    <t>DN200 x 7,7 PN 6</t>
  </si>
  <si>
    <t>DN200 x 9,6 PN 8</t>
  </si>
  <si>
    <t>DN200 x 11,9 PN 10</t>
  </si>
  <si>
    <t>Ống PP-R</t>
  </si>
  <si>
    <t>DN 20x1.9 PN 10 - Lạnh</t>
  </si>
  <si>
    <t>DN 20x3.4 PN 20 - Nóng</t>
  </si>
  <si>
    <t>DN 25x2.3 PN 10 - Lạnh</t>
  </si>
  <si>
    <t>DN 25x4.2 PN 20 - Nóng</t>
  </si>
  <si>
    <t>DN 32x2.9 PN 10 - Lạnh</t>
  </si>
  <si>
    <t>DN 32x5.4 PN 20 - Nóng</t>
  </si>
  <si>
    <t>DN 40x3.7 PN 10 - Lạnh</t>
  </si>
  <si>
    <t>DN 40x6.7 PN 20 - Nóng</t>
  </si>
  <si>
    <t>DN 50x4.6 PN 10 - Lạnh</t>
  </si>
  <si>
    <t>DN 50x8.3 PN 20  - Nóng</t>
  </si>
  <si>
    <t>DN 63x5.8 PN 10 - Lạnh</t>
  </si>
  <si>
    <t>DN 63x10.5 PN 20 - Nóng</t>
  </si>
  <si>
    <t>DN 75x6.8 PN 10 - Lạnh</t>
  </si>
  <si>
    <t>DN 75x12.5 PN 20 - Nóng</t>
  </si>
  <si>
    <t>DN 90x8.2 PN 10 - Lạnh</t>
  </si>
  <si>
    <t>DN 90x15.0 PN 20 - Nóng</t>
  </si>
  <si>
    <t>DN 110x10.0 PN 10 - Lạnh</t>
  </si>
  <si>
    <t>DN 110x18.3 PN 20 - Nóng</t>
  </si>
  <si>
    <t>Công ty CP tập đoàn đầu tư xây dựng Phú Lộc</t>
  </si>
  <si>
    <t>(Giá bán tại Lạng Sơn: Công ty CP TM đầu tư xây dựng Dũng Linh-156 Bến Bắc, Tam Thanh, tp. Lạng Sơn; Cửa hàng Thiết bị điện Cao Ban - 123, Trần Đăng Ninh, tp Lạng Sơn).</t>
  </si>
  <si>
    <t>CXV 1x70</t>
  </si>
  <si>
    <t>CXV 4x70</t>
  </si>
  <si>
    <t>DSTA 2x70</t>
  </si>
  <si>
    <t>DSTA 3x70+1x35</t>
  </si>
  <si>
    <t>VCSF 1x1.5</t>
  </si>
  <si>
    <t>VCTFK 2x1.5</t>
  </si>
  <si>
    <t>VCTF 2x1.5</t>
  </si>
  <si>
    <t>VCTF 4x1.5</t>
  </si>
  <si>
    <t>VCSH 1x1.5</t>
  </si>
  <si>
    <t>As 120/19</t>
  </si>
  <si>
    <t>AV 25</t>
  </si>
  <si>
    <t>AV 70</t>
  </si>
  <si>
    <t>As 70/11</t>
  </si>
  <si>
    <t>ABC 2x16</t>
  </si>
  <si>
    <t>ABC 2x70</t>
  </si>
  <si>
    <t>ABC 4x16</t>
  </si>
  <si>
    <t>ABC 4x70</t>
  </si>
  <si>
    <t xml:space="preserve">Công ty CP dây và cáp điện Thượng Đình  CADI-SUN </t>
  </si>
  <si>
    <t>Bê tông thương phẩm Mác 200, đá 1x2</t>
  </si>
  <si>
    <t xml:space="preserve">Bê tông thương phẩm Mác 250, đá 1x2 </t>
  </si>
  <si>
    <t xml:space="preserve">Bê tông thương phẩm Mác 300, đá 1x2 </t>
  </si>
  <si>
    <t xml:space="preserve">Bê tông thương phẩm Mác 350, đá 1x2 </t>
  </si>
  <si>
    <t>Bê tông thương phẩm Mác 150, đá 1x2</t>
  </si>
  <si>
    <t xml:space="preserve">Bê tông thương phẩm Mác 400, đá 1x2 </t>
  </si>
  <si>
    <t>Cáp điện hạ thế 450/750V (ruột đồng)</t>
  </si>
  <si>
    <t>Dây đồng đơn cứng bọc PVC - 300/500v</t>
  </si>
  <si>
    <t>Dây điện mềm bọc nhựa PVC - 300/500V (ruột đồng)</t>
  </si>
  <si>
    <t>VC-1,00 (F 1,13)</t>
  </si>
  <si>
    <t>VC-0,5 (F 0,80)</t>
  </si>
  <si>
    <t>Cáp điện lực hạ thế - 0.6/1kV (1 lõi, ruột đồng, cách điện PVC, vỏ PVC)</t>
  </si>
  <si>
    <t>Cáp điện lực hạ thế - 300/500V (2 lõi, ruột đồng, cách điện PVC, vỏ PVC)</t>
  </si>
  <si>
    <t>Cáp điện lực hạ thế - 300/500V (3 lõi, ruột đồng, cách điện PVC, vỏ PVC)</t>
  </si>
  <si>
    <t>Cáp điện lực hạ thế - 300/500V (4 lõi, ruột đồng, cách điện PVC, vỏ PVC)</t>
  </si>
  <si>
    <t>Cáp điện lực hạ thế - 0.6/1kV (4 lõi, ruột đồng, cách điện PVC, vỏ PVC)</t>
  </si>
  <si>
    <t>Cáp điện lực hạ thế - 0.6/1kV (2 lõi, ruột đồng, cách điện PVC, vỏ PVC)</t>
  </si>
  <si>
    <t>Cáp điện lực hạ thế - 0.6/1kV (3 lõi pha + 1 lõi đất, ruột đồng, cách điện PVC, vỏ PVC)</t>
  </si>
  <si>
    <t>Công ty cổ phần dây cáp điện Việt Nam - CADIVI (Giá bán trên địa bàn tỉnh Lạng Sơn)</t>
  </si>
  <si>
    <t>Cáp hạ thế có giáp bảo vệ 0.6/1kV (1 lõi, ruột đồng, cách điện PVC, giáp băng nhôm bảo vệ, vỏ PVC)</t>
  </si>
  <si>
    <t>Cáp hạ thế có giáp bảo vệ 0.6/1kV (2 lõi, ruột đồng, cách điện PVC, giáp băng nhôm bảo vệ, vỏ PVC)</t>
  </si>
  <si>
    <t>Cáp hạ thế có giáp bảo vệ 0.6/1kV (3 lõi, ruột đồng, cách điện PVC, giáp băng nhôm bảo vệ, vỏ PVC)</t>
  </si>
  <si>
    <t>Cáp hạ thế có giáp bảo vệ 0.6/1kV (3 lõi pha + 1 lõi đất, ruột đồng, cách điện PVC,  giáp băng nhôm bảo vệ, vỏ PVC)</t>
  </si>
  <si>
    <t>Cáp điện kế - 0,6.1 kV (2 lõi, ruột đồng, cách điện PVC, vỏ PVC)</t>
  </si>
  <si>
    <t>Cáp điều khiển - 0,6/1 kV  (2-&gt;37 lõi, ruột đồng, cách điện PVC, vỏ PVC)</t>
  </si>
  <si>
    <t>Cáp trung thế treo-12/20(24) kV hoặc 12,7/22(24) (ruột đồng, chống thấm, bán dẫn, cách điện XLPE, vỏ PVC)</t>
  </si>
  <si>
    <t>CX1V/WBC 95-12/20(24) kV</t>
  </si>
  <si>
    <t>Dây điện lực (AV) - 0,6/1 kV</t>
  </si>
  <si>
    <t xml:space="preserve">Dây đồng trần xoắn </t>
  </si>
  <si>
    <t>Dây nhôm lõi thép</t>
  </si>
  <si>
    <t>Cáp vặn xoắn hạ thế - 0,6/1 kV (2 lõi, ruột nhôm, cách điện XLPE)</t>
  </si>
  <si>
    <t>LV-ABC-2x50 mm</t>
  </si>
  <si>
    <t>Ống luồn dây điện</t>
  </si>
  <si>
    <t>Ống tròn F16, 2,9 m</t>
  </si>
  <si>
    <t>Ống cứng F16-1250N-CA16H</t>
  </si>
  <si>
    <t>Ống đàn hồi CAF-16</t>
  </si>
  <si>
    <t>Ống đàn hồi CAF-20</t>
  </si>
  <si>
    <t>ống</t>
  </si>
  <si>
    <t>cuộn</t>
  </si>
  <si>
    <t>VCm0-(2x1)</t>
  </si>
  <si>
    <t>Vcmo-(2x1,5)</t>
  </si>
  <si>
    <t>Vcmo-(2x6)</t>
  </si>
  <si>
    <t xml:space="preserve">CVV-2x1,5 </t>
  </si>
  <si>
    <t xml:space="preserve">CVV-2x4 </t>
  </si>
  <si>
    <t xml:space="preserve">CVV-2x10 </t>
  </si>
  <si>
    <t>CVV-3x1,5</t>
  </si>
  <si>
    <t xml:space="preserve">CVV-3x2,5 </t>
  </si>
  <si>
    <t xml:space="preserve">CVV-3x6 </t>
  </si>
  <si>
    <t xml:space="preserve">CVV-4x1,5 </t>
  </si>
  <si>
    <t xml:space="preserve">CVV-4x2,5 </t>
  </si>
  <si>
    <t xml:space="preserve">CVV-2x150 </t>
  </si>
  <si>
    <t xml:space="preserve">CVV-2x25 </t>
  </si>
  <si>
    <t xml:space="preserve">CVV-2x16 </t>
  </si>
  <si>
    <t xml:space="preserve">CVV-3x50+1x25 </t>
  </si>
  <si>
    <t xml:space="preserve">CVV/DATA-25 </t>
  </si>
  <si>
    <t xml:space="preserve">CVV/DATA-50 </t>
  </si>
  <si>
    <t>CVV/DATA-95</t>
  </si>
  <si>
    <t xml:space="preserve">CVV/DATA-240 </t>
  </si>
  <si>
    <t xml:space="preserve">CVV/DSTA-2x4 </t>
  </si>
  <si>
    <t xml:space="preserve">CVV/DSTA-2x10 </t>
  </si>
  <si>
    <t xml:space="preserve">CVV/DSTA-2x50 </t>
  </si>
  <si>
    <t xml:space="preserve">CVV/DSTA-2x150 </t>
  </si>
  <si>
    <t xml:space="preserve">CVV/DSTA-3x4 </t>
  </si>
  <si>
    <t xml:space="preserve">AV-16 </t>
  </si>
  <si>
    <t xml:space="preserve">AV-35 </t>
  </si>
  <si>
    <t xml:space="preserve">AV-120 </t>
  </si>
  <si>
    <t xml:space="preserve">AV-500 </t>
  </si>
  <si>
    <t xml:space="preserve">DVV-37x2,5 </t>
  </si>
  <si>
    <t xml:space="preserve">DVV-19x4 </t>
  </si>
  <si>
    <t xml:space="preserve">DVV-10x2,5 </t>
  </si>
  <si>
    <t xml:space="preserve">DVV-2x1,5 </t>
  </si>
  <si>
    <t xml:space="preserve">DK-CVV-2x35 </t>
  </si>
  <si>
    <t xml:space="preserve">DK-CVV-2x10 </t>
  </si>
  <si>
    <t xml:space="preserve">DK-CVV-2x4 </t>
  </si>
  <si>
    <t xml:space="preserve">CVV/DSTA-3x240+1x120 </t>
  </si>
  <si>
    <t xml:space="preserve">CVV/DSTA-3x50+1x25 </t>
  </si>
  <si>
    <t xml:space="preserve">CVV/DSTA-3x16+1x10 </t>
  </si>
  <si>
    <t xml:space="preserve">CVV/DSTA-3x4+1x2,5 </t>
  </si>
  <si>
    <t xml:space="preserve">CVV/DSTA-3x185 </t>
  </si>
  <si>
    <t xml:space="preserve">CVV/DSTA-3x50 </t>
  </si>
  <si>
    <t xml:space="preserve">CVV/DSTA-3x16 </t>
  </si>
  <si>
    <t>Cáp điện lực hạ thế chống cháy 0,6/1 kV (1 lõi, ruột đồng, cách điện FR-PVC)</t>
  </si>
  <si>
    <t>CV/FR-1x25</t>
  </si>
  <si>
    <t>CV/FR-1x240</t>
  </si>
  <si>
    <t>Công ty cổ phần bóng đèn Điện Quang (121-123-125 Hàm Nghi, phường Nguyễn Thái Bình, Quận 1, TPHCM))</t>
  </si>
  <si>
    <t>ĐQ LEDPN01 12765 300x300 (12W daylight)</t>
  </si>
  <si>
    <t>ĐQ LEDPN01 12727 300x300 (12W warmwhite )</t>
  </si>
  <si>
    <t>ĐQ LEDPN01 45765 600x600 (45W daylight )</t>
  </si>
  <si>
    <t>ĐQ LEDPN02 16765 200 (16W daylight F200)</t>
  </si>
  <si>
    <t>ĐQ LEDPN04 06765 120 (6W daylight F120)</t>
  </si>
  <si>
    <t>ĐQ LEDPN04 06727 120 (6W warmwhite F120)</t>
  </si>
  <si>
    <t>ĐQ LEDPN04 12765 170  (12W daylight F170)</t>
  </si>
  <si>
    <t>ĐQ LEDMF01 18765 (0.6m 18w Daylight, nguồn tích hợp)</t>
  </si>
  <si>
    <t>ĐQ LEDMF02 36765 (1.2m 36W daylight, nguồn tích hợp)</t>
  </si>
  <si>
    <t>ĐQ LEDTU03 18765 (1.2m 18W Daylight thân nhựa mờ, có kèm nguồn rời)</t>
  </si>
  <si>
    <t>ĐQ LEDTU06I 18765 (1.2m 18W daylight thân thủy tinh)</t>
  </si>
  <si>
    <t>ĐQ LEDTU09 09765 (0.6m 9W daylight thân nhôm chụp nhựa mờ)</t>
  </si>
  <si>
    <t>ĐQ LEDTU09 18765 (1.2m 18W daylight thân nhôm chụp nhựa mờ)</t>
  </si>
  <si>
    <t>ĐQ LEDFX02 18765 (1.2m 18W daylight máng mini led tube thân nhựa mờ)</t>
  </si>
  <si>
    <t>ĐQ LEDDW01 36765 (36W daylight)</t>
  </si>
  <si>
    <t>ĐQ LEDDW01 24765 (24W daylight)</t>
  </si>
  <si>
    <t>ĐQ LEDCL08 10765 (10W Daylight D255mm)</t>
  </si>
  <si>
    <t>Đèn đường  ĐQ LEDSL11 30W</t>
  </si>
  <si>
    <t>Đèn đường  ĐQ LEDSL11 60W</t>
  </si>
  <si>
    <t>Đèn đường  ĐQ LEDSL11 90W</t>
  </si>
  <si>
    <t>Đèn đường  ĐQ LEDSL11 120W</t>
  </si>
  <si>
    <t>Đèn đường  ĐQ LEDSL11 150W</t>
  </si>
  <si>
    <t>Đèn đường  ĐQ LEDSL11 180W</t>
  </si>
  <si>
    <t>Đèn đường  ĐQ LEDSL11 210W</t>
  </si>
  <si>
    <t>ĐQ LEDTU09R 18727 (1.2m 18W warmwhite thân nhôm chụp nhựa mờ, đèn xoay)</t>
  </si>
  <si>
    <t xml:space="preserve">Cửa panô gỗ nhóm II </t>
  </si>
  <si>
    <t>Cửa kính gỗ nhóm IV,V (kính màu dày 5 mm )</t>
  </si>
  <si>
    <t>Cửa panô gỗ lim</t>
  </si>
  <si>
    <t>Ống cống BTCT D300/6cm</t>
  </si>
  <si>
    <t>Ống cống BTCT D400/6cm</t>
  </si>
  <si>
    <t>Ống cống BTCT D600/8cm</t>
  </si>
  <si>
    <t>Ống cống BTCT D1250/14cm</t>
  </si>
  <si>
    <t>Ống cống BTCT D1500/14cm</t>
  </si>
  <si>
    <t>Ống cống BTCT D2000/20cm</t>
  </si>
  <si>
    <t>Công ty TNHH MTV Hưng Viên</t>
  </si>
  <si>
    <t>Sơn lót kháng kiềm trong nhà loại K109 - Gold (20kg/thùng)</t>
  </si>
  <si>
    <t>Sơn không bóng trong nhà loại K771 - Gold  (20kg/thùng)</t>
  </si>
  <si>
    <t>Sơn không bóng trong nhà loại K260 - Gold (20kg/thùng)</t>
  </si>
  <si>
    <t>Sơn bóng cao cấp trong nhà loại K5500 - Gold (20kg/thùng)</t>
  </si>
  <si>
    <t>Sơn bóng cao cấp trong nhà loại K871 - Gold (20kg/thùng)</t>
  </si>
  <si>
    <t>Sơn lót kháng kiềm ngoài nhà loại K209 - Gold  (20kg/thùng)</t>
  </si>
  <si>
    <t>Sơn không bóng ngoài nhà loại K261 - Gold (20kg/thùng)</t>
  </si>
  <si>
    <t>Sơn không bóng ngoài nhà loại K5501 - Gold (20kg/thùng)</t>
  </si>
  <si>
    <t>Sơn bóng cao cấp ngoài nhà loại K360 - Gold (20kg/thùng)</t>
  </si>
  <si>
    <t>Sơn trang trí, chống thấm ngoài nhà loại CT 04T- Gold  (20kg/thùng)</t>
  </si>
  <si>
    <t>Ma tít trong nhà loại MTT  - Gold(25kg/thùng)</t>
  </si>
  <si>
    <t>Bột bả trong nhà loại MB  - Gold(25kg/bao)</t>
  </si>
  <si>
    <t>Matít ngoài trời loại MTN  - Gold(25kg/thùng)</t>
  </si>
  <si>
    <t>Bột bả ngoài trời loại MB  - Gold(25kg/bao)</t>
  </si>
  <si>
    <t>Gạch xây không nung, ép thủy lực</t>
  </si>
  <si>
    <t>Gạch đặc, GKN-002, quy cách (400x180x120) mm, Mác 7,5</t>
  </si>
  <si>
    <t>Gạch đặc, GKN-003, quy cách (400x180x140) mm, Mác 7,5</t>
  </si>
  <si>
    <t>Gạch đặc  (220x105x65)mm, Mác 10</t>
  </si>
  <si>
    <t xml:space="preserve">Gạch bê tông không nung </t>
  </si>
  <si>
    <t>Gạch đặc GT1, quy cách (220x105x60)mm, Mác 10</t>
  </si>
  <si>
    <t>Gạch 2 lỗ GT4, quy cách (390x180x140)mm, Mác 10</t>
  </si>
  <si>
    <t>Gạch 2 lỗ GT5, quy cách (390x180x120)mm, Mác 10</t>
  </si>
  <si>
    <t>(Giá tại Mỏ Hồng Phong I, xã Hồng Phong, huyện Cao Lộc. Đã bao gồm chi phí bốc lên xe khách hàng)</t>
  </si>
  <si>
    <t>Gạch đặc, GKN-001, quy cách (220x105x60) mm, Mác 7,5</t>
  </si>
  <si>
    <t>Cát thô dùng cho bê tông và vữa (cát nghiền từ đá vôi)</t>
  </si>
  <si>
    <t>(Giá bán tại nơi sản xuất, KCN số II, xã Hợp Thành, huyện Cao Lộc)</t>
  </si>
  <si>
    <t>Gạch 2 lỗ, quy cách (210x100x60)mm, Mac 7,5</t>
  </si>
  <si>
    <t>Gạch đặc, quy cách (210x100x60)mm, Mac 10</t>
  </si>
  <si>
    <t>Sản phẩm Gạch ốp, lát Đồng Tâm</t>
  </si>
  <si>
    <t>Gạch men lát nền</t>
  </si>
  <si>
    <t>Gạch men ốp tường</t>
  </si>
  <si>
    <t>Sản phẩm Gạch ốp, lát của Công ty CP Thạch Bàn miền Bắc.</t>
  </si>
  <si>
    <t>(Giá bán tại thành phố Lạng Sơn, chưa bao gồm chi phí vận chuyển, bốc xếp)</t>
  </si>
  <si>
    <t>Gạch Ceramic</t>
  </si>
  <si>
    <t>Gạch ốp men khô  mầu đậm/nhạt CeraArt (MDP/MLP)                           300x600</t>
  </si>
  <si>
    <t>Gạch ốp men bóng mầu đậm/nhạt CeraArt (TDP/TLP)                             300x600</t>
  </si>
  <si>
    <t>Gạch ốp men bóng trang trí-viên điểm CeraArt (TKP/TIP/THP,TMP...) 300x600</t>
  </si>
  <si>
    <t>Gạch ốp men khô, ốp trang trí CeraArt (MIP, MHP, MMP, MKP…)    300x600</t>
  </si>
  <si>
    <t>Gạch lát nền vệ sinh CeraArt (MSP)                                                          300x300</t>
  </si>
  <si>
    <t>Gạch Granite</t>
  </si>
  <si>
    <t xml:space="preserve">Gạch men khô hiệu ứng 3D DigiArt (MPH)                               300x600; 600x600 </t>
  </si>
  <si>
    <t xml:space="preserve">Gạch men khô, mặt phẳng DigiArt (MPF)                                  300x600; 600x600                                               </t>
  </si>
  <si>
    <t>Gạch men khô hiệu ứng hạt kim cương DigiArt (MPG)                             600x600</t>
  </si>
  <si>
    <t xml:space="preserve">Gạch men khô, mặt phẳng DigiArt (MPF)                                                 800x800 </t>
  </si>
  <si>
    <t xml:space="preserve">Gạch men khô hiệu ứng 3D DigiArt (MPH)                                               800x800 </t>
  </si>
  <si>
    <t>Gạch men khô hiệu ứng hạt kim cương DigiArt (MPG)                             800x800</t>
  </si>
  <si>
    <t>Gạch siêu bóng pha lê CrysArt (BCN)                                                       600x600</t>
  </si>
  <si>
    <t>Gạch siêu bóng pha lê CrysArt (BCN)                                                       800x800</t>
  </si>
  <si>
    <t>Gạch siêu bóng Nano (BDN)                                                                      600x600</t>
  </si>
  <si>
    <t>Gạch siêu bóng Nano (BDN)                                                                      800x800</t>
  </si>
  <si>
    <t>Đá &lt; 5 mm</t>
  </si>
  <si>
    <t>Đèn LED bulb thân nhựa ĐQ LEDBUA50 (3W daylight/warmwhite chụp cầu mở)</t>
  </si>
  <si>
    <t>Đèn LED bulb thân nhựa ĐQ LEDBUA55 (5W daylight/warmwhite chụp cầu mở)</t>
  </si>
  <si>
    <t>Đèn LED bulb thân nhựa ĐQ LEDBUA70 (7W daylight/warmwhite chụp cầu mở)</t>
  </si>
  <si>
    <t>Đèn LED bulb thân nhựa ĐQ LEDBUA80 (9W daylight/warmwhite chụp cầu mở)</t>
  </si>
  <si>
    <t>Đèn LED bulb BU11 ĐQ LEDBU11 A50 (3W daylight/warmwhite chụp cầu mở)</t>
  </si>
  <si>
    <t>Đèn LED bulb BU11 ĐQ LEDBU11 A60 05765 (5W daylight, chụp cầu mở)</t>
  </si>
  <si>
    <t>Đèn LED bulb BU11 ĐQ LEDBU11 A50 05765 (3W, RED/GREEN/BLUE)</t>
  </si>
  <si>
    <t>Đèn LED bulb BU11 ĐQ LEDBU11 A60 05765 (5W, RED/GREEN/BLUE)</t>
  </si>
  <si>
    <t>Đèn LED bulb BU11 ĐQ LEDBU11 A70  (7W daylight/warmwhite, chụp cầu mở)</t>
  </si>
  <si>
    <t>Đèn LED bulb  ĐQ LEDBU09  (12W daylight/warmwhite)</t>
  </si>
  <si>
    <t>Đèn LED bulb  ĐQ LEDBU09  (20W daylight/warmwhite)</t>
  </si>
  <si>
    <t>Đèn LED bulb  ĐQ LEDBU09  (30W daylight/warmwhite)</t>
  </si>
  <si>
    <t>Đèn LED bulb  ĐQ LEDBU09  (25W daylight/warmwhite/coolwhite)</t>
  </si>
  <si>
    <t>Đèn LED bulb  ĐQ LEDBU10  (10W daylight/warmwhite/coolwhite chống ẩm)</t>
  </si>
  <si>
    <t>Đèn LED bulb  ĐQ LEDBU10  (18W daylight/warmwhite)</t>
  </si>
  <si>
    <t>Đèn LED bulb  ĐQ LEDBU10  (25W daylight/warmwhite)</t>
  </si>
  <si>
    <t>Bộ đèn LED Downlight ĐQLRD04 (3W daylight/warmwhite/coolwhite, 3,5inch)</t>
  </si>
  <si>
    <t>Bộ đèn LED Downlight ĐQLRD04 (5W daylight/warmwhite/coolwhite, 3,5inch)</t>
  </si>
  <si>
    <t>Bộ đèn LED Downlight ĐQLRD04 (5W, 3,5inch, đổi màu bằng công tắc)</t>
  </si>
  <si>
    <t>Bộ đèn LED Downlight ĐQLRD04 (7W daylight/warmwhite/coolwhite, 4,5inch)</t>
  </si>
  <si>
    <t>Bộ đèn LED Downlight ĐQLRD04 (9W daylight/warmwhite/coolwhite, 4,5inch)</t>
  </si>
  <si>
    <t>Bộ đèn LED Downlight ĐQLRD04 (7W, 4,5inch, đổi màu bằng công tắc)</t>
  </si>
  <si>
    <t>Bộ đèn LED Downlight ĐQLRD04 (11W daylight/warmwhite/coolwhite, 4,5inch)</t>
  </si>
  <si>
    <t>Bộ đèn LED Downlight ĐQLRD05 (3W daylight/warmwhite/coolwhite, 3,5inch)</t>
  </si>
  <si>
    <t>Bộ đèn LED Downlight ĐQLRD05 (5W daylight/warmwhite/coolwhite, 3,5inch)</t>
  </si>
  <si>
    <t>Đèn LED tube DDQLEDTU06I (0.6 9W daylight/warmwhite thân thủy tinh)</t>
  </si>
  <si>
    <t>Đèn LED tube DDQLEDTU06I (1.2 18W daylight/warmwhite thân thủy tinh)</t>
  </si>
  <si>
    <t>Đèn LED tube DDQLEDTU09 (0.6 9W daylight/warmwhite/coolwhite thân nhôm chụp nhựa mờ)</t>
  </si>
  <si>
    <t>Đèn LED tube DDQLEDTU09R HPF (1.2 18W daylight/warmwhite/coolwhite thân nhôm chụp nhựa mờ, đầu đèn xoay, hệ số công suất cao)</t>
  </si>
  <si>
    <t>Đèn LED tube DDQLEDTU09R HPF (1.2 18W daylight/warmwhite/coolwhite thân nhôm chụp nhựa mờ, hệ số công suất cao)</t>
  </si>
  <si>
    <t>Đèn LED tube DDQLEDTU09R  (0.6 9W daylight/warmwhite/coolwhite thân nhôm chụp nhựa mờ, đầu đèn xoay)</t>
  </si>
  <si>
    <t>Đèn LED tube DDQLEDTU09 HPF (1.2 22W daylight/warmwhite/coolwhite thân nhôm chụp nhựa mờ, công suất cao)</t>
  </si>
  <si>
    <t>Đèn LED tube DDQLEDTU09R HPF (1.2 22W daylight/warmwhite/coolwhite thân nhôm chụp nhựa mờ, đầu đèn xoay, hệ số công suất cao)</t>
  </si>
  <si>
    <t>LED tube ĐQLEDFX09HPF (18Wdaylight/warmwhite/coolwhite thân liền 0.6m)</t>
  </si>
  <si>
    <t>LED tube ĐQLEDFX09HPF (9Wdaylight/warmwhite/coolwhite thân liền 0.6m)</t>
  </si>
  <si>
    <t>Đèn LED  ĐQLEDTU09R (0.6m 9Wdaylight/warmwhite/coolwhite thân nhôm chụp nhựa mờ, đầu đèn xoay)</t>
  </si>
  <si>
    <t>Đèn LED  ĐQLEDTU09 (1.2m 18Wdaylight/warmwhite/coolwhite thân nhôm chụp nhựa mờ)</t>
  </si>
  <si>
    <t>Đèn LED  ĐQLEDTU09R (1.2m 18Wdaylight/warmwhite/coolwhite thân nhôm chụp nhựa mờ, đầu đèn xoay)</t>
  </si>
  <si>
    <t>Đèn LED  ĐQLEDTU09R (1.2m 22Wdaylight/warmwhite/coolwhite thân nhôm chụp nhựa mờ, đầu đèn xoay)</t>
  </si>
  <si>
    <t>Bộ</t>
  </si>
  <si>
    <t>Bộ đèn ĐQ LEDFX02 (0.6 9W daylight/warmwhite/coolwhite, máng mini led tube thân nhựa mờ)</t>
  </si>
  <si>
    <t>Bộ đèn ĐQ LEDFX02 (1.2 18W daylight/warmwhite/coolwhite, máng mini led tube thân nhựa mờ)</t>
  </si>
  <si>
    <t>Bộ đèn ĐQ LEDFX09 ( 9W daylight/warmwhite/coolwhite, mini 0.6m, TU09)</t>
  </si>
  <si>
    <t>Bộ đèn ĐQ LEDFX09 ( 18W daylight/warmwhite/coolwhite, mini 1.2m, TU09)</t>
  </si>
  <si>
    <t>Bộ đèn ĐQ LEDFX06 ( 18W daylight thân liền mini 1.2m, TU06)</t>
  </si>
  <si>
    <t>Bộ đèn ĐQ LEDFX06 ( 9W daylight thân liền mini 0.6m, TU06)</t>
  </si>
  <si>
    <t>Đèn LED hight bay ĐQ LEDHB05 (40W daylghit)</t>
  </si>
  <si>
    <t>Đèn LED hight bay ĐQ LEDHB05 (60W daylghit)</t>
  </si>
  <si>
    <t>Đèn LED hight bay ĐQ LEDHB05 (80W daylghit E40)</t>
  </si>
  <si>
    <t>Đèn LED hight bay ĐQ LEDHB02 (100W daylghit/warmwhit)</t>
  </si>
  <si>
    <t>Bộ Đèn LED hight bay ĐQ LEDHB02 (150W daylghit)</t>
  </si>
  <si>
    <t>Bộ Đèn LED hight bay ĐQ LEDHB02 (200W daylghit)</t>
  </si>
  <si>
    <t>Bộ đèn LED ốp trần ĐQ LEDCL 18 15765 (15W Daylight D270)</t>
  </si>
  <si>
    <t>Bộ đèn LED panel ĐQ LEDPN04 09765/09727/09740 146 (9W daylight/Warmwhite. Coolwhite F146)</t>
  </si>
  <si>
    <t>Đèn LED nến ĐQ LEDCD03 02765/02727 (2W daylight/Warmwhite chụp mờ)</t>
  </si>
  <si>
    <t>Đèn LED nến ĐQ LEDCD04 02765/02727 (2W daylight/Warmwhite chụp mờ)</t>
  </si>
  <si>
    <t>Đèn LED nến ĐQ LEDCD01 02727 (2W Warmwhite chụp mờ)</t>
  </si>
  <si>
    <t>Đèn LED nến ĐQ LEDCD01 02727 (2W Warmwhite chụp trong)</t>
  </si>
  <si>
    <t xml:space="preserve">Đá hộc </t>
  </si>
  <si>
    <t>Bê tông M150</t>
  </si>
  <si>
    <t>Bê tông M200</t>
  </si>
  <si>
    <t>Bê tông M250</t>
  </si>
  <si>
    <t>Bê tông M300</t>
  </si>
  <si>
    <t>Bê tông M350</t>
  </si>
  <si>
    <t>Bê tông M400</t>
  </si>
  <si>
    <t>4.1</t>
  </si>
  <si>
    <t>Đèn đường  ĐQ LEDSL18 210W</t>
  </si>
  <si>
    <t>Đèn đường  ĐQ LEDSL18 30W</t>
  </si>
  <si>
    <t>Đèn đường  ĐQ LEDSL18 60W</t>
  </si>
  <si>
    <t>Đèn đường  ĐQ LEDSL18 90W</t>
  </si>
  <si>
    <t>Đèn đường  ĐQ LEDSL18 120W</t>
  </si>
  <si>
    <t>Đèn đường  ĐQ LEDSL18 150W</t>
  </si>
  <si>
    <t>Đèn đường  ĐQ LEDSL18 180W</t>
  </si>
  <si>
    <t>Cát nghiền từ đá vôi</t>
  </si>
  <si>
    <t>Cát 0-5mm</t>
  </si>
  <si>
    <t>Cát 0-10mm</t>
  </si>
  <si>
    <t>Cát 0-3mm</t>
  </si>
  <si>
    <t>Loại bồn đứng, mã hiệu TA 2500D</t>
  </si>
  <si>
    <t>Loại bồn đứng, mã hiệu TA 4000D</t>
  </si>
  <si>
    <t>Loại bồn ngang, mã hiệu TA 1000D</t>
  </si>
  <si>
    <t>Loại bồn ngang, mã hiệu TA 2000D</t>
  </si>
  <si>
    <t>Loại bồn ngang, mã hiệu TA 3000D</t>
  </si>
  <si>
    <t>Loại bồn ngang, mã hiệu TA 4000D</t>
  </si>
  <si>
    <t>Loại bồn ngang, mã hiệu TA 1500D</t>
  </si>
  <si>
    <t>Loại bồn đứng, mã hiệu TA 300</t>
  </si>
  <si>
    <t>Loại bồn đứng, mã hiệu TA 1500</t>
  </si>
  <si>
    <t>Loại bồn đứng, mã hiệu TA 4000</t>
  </si>
  <si>
    <t>Loại bồn ngang, mã hiệu TA 300</t>
  </si>
  <si>
    <t>Loại bồn  ngang mã hiệu TA 500</t>
  </si>
  <si>
    <t>Loại bồn  ngang mã hiệu TA 1000</t>
  </si>
  <si>
    <t>Loại bồn  ngang mã hiệu TA 1500</t>
  </si>
  <si>
    <t>Loại bồn  ngang mã hiệu TA 2000</t>
  </si>
  <si>
    <t>Loại bồn Vuông mã hiệu TA 500</t>
  </si>
  <si>
    <t>Loại bồn Vuông mã hiệu TA 1000</t>
  </si>
  <si>
    <t>Phụ kiện</t>
  </si>
  <si>
    <t>Ống nhựa u.PVC dán keo loại thoát nước</t>
  </si>
  <si>
    <t>Ống nhựa u.PVC nối ghép bằng zoăng cao su loại PN 10</t>
  </si>
  <si>
    <t>Ống nhựa u.PVC nối ghép bằng zoăng cao su loại PN 8</t>
  </si>
  <si>
    <t>Ống nhựa HDPE loại PE80, áp suất 12.5</t>
  </si>
  <si>
    <t>Ống nhựa PPR, áp suất 16.0</t>
  </si>
  <si>
    <t>Phụ tùng PPR</t>
  </si>
  <si>
    <t xml:space="preserve">Bình 15 lít (2500W) </t>
  </si>
  <si>
    <t xml:space="preserve">Bình 20 lít (2500W) </t>
  </si>
  <si>
    <t xml:space="preserve">Bình 30 lít (2500W) </t>
  </si>
  <si>
    <t>Bình nước nóng ROSSI tiết kiệm điện - Bình Vuông</t>
  </si>
  <si>
    <t>Bình nước nóng ROSSI tiết kiệm điện - Bình Ngang</t>
  </si>
  <si>
    <t>Bình nước nóng ROSSI IS - INTRUSTUSTRIAL</t>
  </si>
  <si>
    <t>Bình nước nóng trực tiếp Rossi</t>
  </si>
  <si>
    <t>R450</t>
  </si>
  <si>
    <t>R450P (bơm tăng áp)</t>
  </si>
  <si>
    <t>R500</t>
  </si>
  <si>
    <t>R500P (bơm tăng áp)</t>
  </si>
  <si>
    <t>R50 - IS - 50 lít</t>
  </si>
  <si>
    <t>R 100 - IS - 100 lít</t>
  </si>
  <si>
    <t>Dòng Gold - Ống chân không</t>
  </si>
  <si>
    <t>Dòng Gold - Ống dầu</t>
  </si>
  <si>
    <t>Dòng Diamond - Ống chân không</t>
  </si>
  <si>
    <t>Dòng Diamond - Ống dầu</t>
  </si>
  <si>
    <t>Giàn máy nước nóng NLMT công nghiệp</t>
  </si>
  <si>
    <t>Hướng Dương 47-18,  140 lít,  (1690x1290x1100 mm)</t>
  </si>
  <si>
    <t>Hướng Dương 58-15,  140 lít,  (1850x1230x1380 mm)</t>
  </si>
  <si>
    <t>Hướng Dương 47-21,  160 lít   (1690x1500x1100 mm)</t>
  </si>
  <si>
    <t>Hướng Dương 58-18,  180 lít,   (1850x1470x1380 mm)</t>
  </si>
  <si>
    <t>Hướng Dương 58-21,  200 lít,   (1850x1710x1380 mm)</t>
  </si>
  <si>
    <t>Hướng Dương 58-24,  230 lít,   (1850x1950x1380 mm)</t>
  </si>
  <si>
    <t>TA-DI-S  58-14, (2000x1460x1160 mm),   140 lít</t>
  </si>
  <si>
    <t>TA-DI-S  58-15, (2000x1540x1160 mm),   150 lít</t>
  </si>
  <si>
    <t>TA-DI-S  58-16, (2000x1620x1160 mm),   160 lít</t>
  </si>
  <si>
    <t>TA 58-48,  (4000x3600x2000 mm),    500 lít</t>
  </si>
  <si>
    <t>TA 58-96, (8000x3800x2000 mm),   1000 lít</t>
  </si>
  <si>
    <t>TA 58-144,  (12000x3800x2000 mm),   1500 lít</t>
  </si>
  <si>
    <t>TA 58-192,  (16000x3800x2000 mm),   2000 lít</t>
  </si>
  <si>
    <t>TA-DI  58-16, (2000x1620x1160 mm),   160 lít</t>
  </si>
  <si>
    <t>TA-DI  58-15, (2000x1540x1160 mm),   150 lít</t>
  </si>
  <si>
    <t>TA-DI  58-14, (2000x1460x1160 mm),   140 lít</t>
  </si>
  <si>
    <t>TA-GO-S 58-21,  (2000x1750x1160 mm),   200 lít</t>
  </si>
  <si>
    <t>TA-GO-S 58-18,  (2000x1520x1160 mm),   180 lít</t>
  </si>
  <si>
    <t>TA-GO-S 58-16,  (2000x1370x1160 mm),   160 lít</t>
  </si>
  <si>
    <t>TA-GO-S 58-14,  (2000x1210x1160 mm),   140 lít</t>
  </si>
  <si>
    <t>TA-GO 58-21,    (2000x1750x1160 mm),  200 lít</t>
  </si>
  <si>
    <t>TA-GO 58-18,    (2000x1520x1160 mm),  180 lít</t>
  </si>
  <si>
    <t>TA-GO 58-16,    (2000x1370x1160 mm),  160 lít</t>
  </si>
  <si>
    <t>TA-GO 47-15,    (1790x1120x1060 mm),   120 lít</t>
  </si>
  <si>
    <t>TA-GO 47-21,    (1790x1550x1060 mm),   160 lít</t>
  </si>
  <si>
    <t>TA-GO 47-18,   (1790x1340x1060 mm),   140 lít</t>
  </si>
  <si>
    <t>TA-GO 47-24,    (1790x1760x1060 mm),   180 lít</t>
  </si>
  <si>
    <t>TA-GO 58-14    (2000x1210x1160 mm),   140 lit</t>
  </si>
  <si>
    <t>Bồn chứa nước INOX TÂN Á - Bồn đứng</t>
  </si>
  <si>
    <t>Bồn chứa nước INOX TÂN Á - Bồn ngang</t>
  </si>
  <si>
    <t>Bồn nhựa TÂN Á - Bồn đứng</t>
  </si>
  <si>
    <t>Bồn nhựa TÂN Á - Bồn ngang</t>
  </si>
  <si>
    <t>Cái</t>
  </si>
  <si>
    <t xml:space="preserve">Chậu rửa ROSSI  ECO </t>
  </si>
  <si>
    <t>Chậu rửa ROSSI  304</t>
  </si>
  <si>
    <t>Ống nhựa STROMAN Việt Nam</t>
  </si>
  <si>
    <t>Ống thoát uPVC</t>
  </si>
  <si>
    <t>Ống PPR - PN10</t>
  </si>
  <si>
    <t>Ống uPVC - C1</t>
  </si>
  <si>
    <t>Ống uPVC - C2</t>
  </si>
  <si>
    <t>Ống PPR - PN20</t>
  </si>
  <si>
    <t>Ống  D20</t>
  </si>
  <si>
    <t>Ống  D25</t>
  </si>
  <si>
    <t>Ống  D40</t>
  </si>
  <si>
    <t>Ống  D75</t>
  </si>
  <si>
    <t>Ống  D110</t>
  </si>
  <si>
    <t>Ống PPR - PN25</t>
  </si>
  <si>
    <t>RA 03, chậu 2 hố - 1 bàn  (1005x470x180 mm)</t>
  </si>
  <si>
    <t>RA 11, chậu 2 hố - không bàn  (810x470x180 mm)</t>
  </si>
  <si>
    <t>RA 20, chậu 2 hố - 1 bàn, 1 hố phụ  (1005x500x180 mm)</t>
  </si>
  <si>
    <t>RA 24, chậu 1 hố - 1 bàn  (800x470x180 mm)</t>
  </si>
  <si>
    <t>RA 31, chậu 1 hố - không bàn  (445x360x180 mm)</t>
  </si>
  <si>
    <t>RX 80, chậu đạp liền 2 hố - không bàn  (800x430x210 mm)</t>
  </si>
  <si>
    <t>RA 82, chậu 2 hố - không bàn                (710x460x200 mm)</t>
  </si>
  <si>
    <t>RA 83, chậu 2 hố -1 bàn                        (1005xx470x200 mm)</t>
  </si>
  <si>
    <t>RX 84, chậu 2 hố - không bàn                (820x470x240 mm)</t>
  </si>
  <si>
    <t>RX 85, chậu 1 hố - không bàn                (410x470x240 mm)</t>
  </si>
  <si>
    <t>Cút uPVC</t>
  </si>
  <si>
    <t>Ống  D21</t>
  </si>
  <si>
    <t>Ống  D48</t>
  </si>
  <si>
    <t>Ống  HDPE - PN12,5</t>
  </si>
  <si>
    <t>Ống  HDPE - PN6</t>
  </si>
  <si>
    <t>Ống  HDPE - PN8</t>
  </si>
  <si>
    <t>Ống  HDPE - PN10</t>
  </si>
  <si>
    <t>Tê uPVC</t>
  </si>
  <si>
    <t>Chếch</t>
  </si>
  <si>
    <t>Côn thu uPVC</t>
  </si>
  <si>
    <t>Măng sông uPVC</t>
  </si>
  <si>
    <t>27x21</t>
  </si>
  <si>
    <t>42x27</t>
  </si>
  <si>
    <t>75x34</t>
  </si>
  <si>
    <t>110x34</t>
  </si>
  <si>
    <t>Tê thu uPVC</t>
  </si>
  <si>
    <t>Nút bịt uPVC</t>
  </si>
  <si>
    <t>Ren 21x1/2</t>
  </si>
  <si>
    <t>Ren 34x1</t>
  </si>
  <si>
    <t>Y uPVC</t>
  </si>
  <si>
    <t>MS ren uPVC</t>
  </si>
  <si>
    <t>Tê cong uPVC 110</t>
  </si>
  <si>
    <t>Cút ren uPVC 21x1/2</t>
  </si>
  <si>
    <t>Bạc chuyển bậc uPVC - 75x42</t>
  </si>
  <si>
    <t>Bạc chuyển bậc uPVC - 110x48</t>
  </si>
  <si>
    <t>Cút PP-R   25</t>
  </si>
  <si>
    <t>Tê PP-R  25</t>
  </si>
  <si>
    <t>Chếch PP-R  25</t>
  </si>
  <si>
    <t>Măng sông PP-R  25</t>
  </si>
  <si>
    <t>Côn thu PP-R 25x20</t>
  </si>
  <si>
    <t>Ống  D63</t>
  </si>
  <si>
    <t>Phụ kiện ống nhựa uPVC STROMAN Việt Nam</t>
  </si>
  <si>
    <t>Phụ kiện ống nhựa PP-R STROMAN Việt Nam</t>
  </si>
  <si>
    <t>63x25</t>
  </si>
  <si>
    <t>110x50</t>
  </si>
  <si>
    <t>Nút bịt PP-R 25</t>
  </si>
  <si>
    <t>Zắc co PP-R 25</t>
  </si>
  <si>
    <t>Zắc co ren trong PP-R 20x1/2</t>
  </si>
  <si>
    <t>Zắc co ren ngoài PP-R 20x1/2</t>
  </si>
  <si>
    <t>Tê thu PP-R 25x20</t>
  </si>
  <si>
    <t>110x63</t>
  </si>
  <si>
    <t>Cút ren trong PP-R 25x1/2</t>
  </si>
  <si>
    <t>Cút ren ngoài PP-R 25x1/2</t>
  </si>
  <si>
    <t>Măng sông ren trong PP-R 25x1/2</t>
  </si>
  <si>
    <t>Măng sông ren ngoài PP-R 25x1/2</t>
  </si>
  <si>
    <t>Tê ren trong PP-R 25x1/2</t>
  </si>
  <si>
    <t>Tê ren ngoài PP-R 25x1/2</t>
  </si>
  <si>
    <t>Ống tránh PP-R D25</t>
  </si>
  <si>
    <t>Van chặn PP-R D25</t>
  </si>
  <si>
    <t>110x75</t>
  </si>
  <si>
    <t>Trong, ngoài 21x1/2</t>
  </si>
  <si>
    <t>Trong, ngoài  48x1/2</t>
  </si>
  <si>
    <t>Phụ kiện ống nhựa HDPE  STROMAN Việt Nam</t>
  </si>
  <si>
    <t>Măng sông HDPE Dn 25</t>
  </si>
  <si>
    <t>Cút 90 HDPE DN 25</t>
  </si>
  <si>
    <t>Tê HDPE DV 25</t>
  </si>
  <si>
    <t>Cút hàn HDPE DN  110</t>
  </si>
  <si>
    <t>Tê hàn HDPE DV 110</t>
  </si>
  <si>
    <t>Tê thu HDPE DN 25-20</t>
  </si>
  <si>
    <t>40-25</t>
  </si>
  <si>
    <t>75-50</t>
  </si>
  <si>
    <t>Đai khởi thủy HDPE DN 25x1/2</t>
  </si>
  <si>
    <t>40x1/2</t>
  </si>
  <si>
    <t>110x1-1/2</t>
  </si>
  <si>
    <t>63x1-1/2</t>
  </si>
  <si>
    <t>300 x 300, loại A</t>
  </si>
  <si>
    <t>500 x 500, loại A</t>
  </si>
  <si>
    <t>600 x 600, loại A</t>
  </si>
  <si>
    <t>400 x 400 loại A</t>
  </si>
  <si>
    <t>300 x 300 loại A</t>
  </si>
  <si>
    <t>250 x 250 loại A</t>
  </si>
  <si>
    <t>200 x 200 loại A</t>
  </si>
  <si>
    <t>200 x 250 loại A</t>
  </si>
  <si>
    <t>250 x 400 loại A</t>
  </si>
  <si>
    <t>300 x 600 loại A</t>
  </si>
  <si>
    <t>400 x 400, loại A</t>
  </si>
  <si>
    <t>400 x 800, loại A</t>
  </si>
  <si>
    <t>800 x 800, loại A</t>
  </si>
  <si>
    <t>105 x 105 loại A</t>
  </si>
  <si>
    <t>300 x 450 loại A</t>
  </si>
  <si>
    <t>2. THÉP CÁC LOẠI</t>
  </si>
  <si>
    <t>4. CARBON ASPHALT, ĐÁ CHO BÊ TÔNG NHỰA ASPHALT VÀ BÊ TÔNG LỚP TRÊN</t>
  </si>
  <si>
    <t>5. CỬA CÁC LOẠI</t>
  </si>
  <si>
    <t>5.1</t>
  </si>
  <si>
    <t>5.2</t>
  </si>
  <si>
    <t>7. SƠN CÁC LOẠI</t>
  </si>
  <si>
    <t>7.1</t>
  </si>
  <si>
    <t>7.2</t>
  </si>
  <si>
    <t>7.3</t>
  </si>
  <si>
    <t>7.4</t>
  </si>
  <si>
    <t>8. GẠCH ỐP, LÁT</t>
  </si>
  <si>
    <t>8.1</t>
  </si>
  <si>
    <t>8.2</t>
  </si>
  <si>
    <t>9. ĐÁ GRANITE</t>
  </si>
  <si>
    <t>Atomas SINO các loại</t>
  </si>
  <si>
    <t>(Tại thành phố Lạng Sơn: Số 31, đường Nhị Thanh, khối 2, phường Tam Thanh; Số 98, Trần Đăng Ninh, thành phố Lạng Sơn - Giá bán trên toàn quốc)</t>
  </si>
  <si>
    <t>11.1</t>
  </si>
  <si>
    <t xml:space="preserve">Công ty TNHH SX &amp; TM Tân Á </t>
  </si>
  <si>
    <t>(số 124 Tôn Đức Thắng, Đống Đa, Hà Nội; Giá bán tại thành phố Lạng Sơn)</t>
  </si>
  <si>
    <t>11.2</t>
  </si>
  <si>
    <t>11.3</t>
  </si>
  <si>
    <t>11.4</t>
  </si>
  <si>
    <t>11.5</t>
  </si>
  <si>
    <t>11.6</t>
  </si>
  <si>
    <t xml:space="preserve"> Hệ thống Ống thoát nước</t>
  </si>
  <si>
    <t xml:space="preserve"> Hệ thống ống cấp nước</t>
  </si>
  <si>
    <t>3.1</t>
  </si>
  <si>
    <t>3.2</t>
  </si>
  <si>
    <t>Công ty cổ phần gạch ngói Hợp Thành</t>
  </si>
  <si>
    <t xml:space="preserve">Bê tông thương phẩm </t>
  </si>
  <si>
    <t>(tại Khối 8, thị trấn Cao Lộc, huyện Cao Lộc; Chưa bao gồm chi phí vận chuyển và bơm bê tông)</t>
  </si>
  <si>
    <t>3.3</t>
  </si>
  <si>
    <t>(Bê tông tại thôn Đại Sơn, xã Hợp Thành, thành phố Lạng Sơn; Chưa bao gồm chi phí vận chuyển và bơm bê tông)</t>
  </si>
  <si>
    <t>3.4</t>
  </si>
  <si>
    <t>3.6</t>
  </si>
  <si>
    <t>3.7</t>
  </si>
  <si>
    <t>3.8</t>
  </si>
  <si>
    <t>3.10</t>
  </si>
  <si>
    <t>(Bê tông thương phẩm tại kho xã Mai Sao, huyện Chi Lăng)</t>
  </si>
  <si>
    <t>(Nơi SX: Mỏ đá Ba Nàng, xã Cai Kinh, huyện Hữu Lũng, tỉnh Lạng Sơn)</t>
  </si>
  <si>
    <t>Tấm lợp Fibrôximăng (0,9 x 1,5)cm Thái Nguyên, Hải Dương, Bắc Ninh</t>
  </si>
  <si>
    <t>Công ty TNHH thép SEAH Việt Nam</t>
  </si>
  <si>
    <t>(Số 7, đường 3A, KCN Biên Hòa II, tỉnh Đồng Nai; Giá tại địa bàn tỉnh Lạng Sơn, chưa bao gồm chi phí bốc xếp)</t>
  </si>
  <si>
    <t>Ống thép đen, độ dầy 3,4- 8,2 mm, đường kính DN125 - DN200</t>
  </si>
  <si>
    <t>Ống thép đen (tròn, vuông, hộp), độ dầy &gt; 6,35 mm, đường kính DN10 - DN100</t>
  </si>
  <si>
    <t>Ống thép đen, độ dầy &gt; 8,2 mm, đường kính DN125 - DN200</t>
  </si>
  <si>
    <t>Ống thép mạ kẽm nhúng nóng, độ dầy 3,4-8,2 mm, đường kính DN125 - DN200</t>
  </si>
  <si>
    <t>Ống thép mạ kẽm nhúng nóng, độ dầy &gt;8,2 mm, đường kính DN125 - DN200</t>
  </si>
  <si>
    <t>Ống thép đen (tròn, vuông, hộp), độ dầy 2,0-5,4 mm, đường kính DN10 - DN100</t>
  </si>
  <si>
    <t>Ống thép đen (tròn, vuông, hộp), độ dầy 5,5-6,35 mm, đường kính DN10 - DN100</t>
  </si>
  <si>
    <t>Ống thép đen (tròn, vuông, hộp), độ dầy 1,0-1,5 mm, đường kính DN10 - DN100</t>
  </si>
  <si>
    <t>Ống thép đen (tròn, vuông, hộp), độ dầy 1,6-1,9 mm, đường kính DN10 - DN100</t>
  </si>
  <si>
    <t>Đèn LED Trái bắp Điện Quang ĐQ LEDCORN V02 12765 (Daylight/Warmwhite)</t>
  </si>
  <si>
    <t>Đèn LED Trái bắp Điện Quang ĐQ LEDCORN V02 15765 (Daylight/Warmwhite)</t>
  </si>
  <si>
    <t>LED ĐƯỜNG  30W</t>
  </si>
  <si>
    <t>1,283,636</t>
  </si>
  <si>
    <t>Dây điện bọc nhựa PVC - 0,6/1 kV (ruột đồng)</t>
  </si>
  <si>
    <t xml:space="preserve">(Lô 6, cụm công nghiệp Tân Hồng - Hoàn Sơn, P, Tân Hồng, thị xã Từ Sơn, tỉnh Bắc Ninh; Văn phòng đại diện tại Lạng Sơn: số 98, đường Bắc Sơn, thị trấn Hữu Lũng, huyện Hữu Lũng, tỉnh Lạng Sơn) </t>
  </si>
  <si>
    <t>(Giá bán tại chân công trình trên địa bàn tỉnh Lạng Sơn)</t>
  </si>
  <si>
    <t>(Lưu ý: Nếu thay Kính trắng 5mm bằng Kính cường lực 5mm thì đơn giá tăng them 120.000 đồng/m2)</t>
  </si>
  <si>
    <t>Đá xẻ Thanh Hoá</t>
  </si>
  <si>
    <t>Đá xám lát vỉa hè: 30 x 30 x 0.5 (cm)</t>
  </si>
  <si>
    <t>Đá xám lát vỉa hè: 15 x 15 x 0.5 (cm)</t>
  </si>
  <si>
    <t>Đá xám lát vỉa hè: 30 x 60 x 0.5 (cm)</t>
  </si>
  <si>
    <t>Đá bó vỉa: 20 x 25 (cm)</t>
  </si>
  <si>
    <t>Đá bó vỉa: 25 x 30 (cm)</t>
  </si>
  <si>
    <t>Đá bó vỉa: 15 x 20 (cm)</t>
  </si>
  <si>
    <t>Đá lát nền</t>
  </si>
  <si>
    <t>Đá lát nền nhập khẩu</t>
  </si>
  <si>
    <t xml:space="preserve">Công ty TNHH thiết bị Bảo Minh An </t>
  </si>
  <si>
    <t>4.2</t>
  </si>
  <si>
    <t>(Nơi SX: Mỏ đá Mai Sao, xã Mai Sao, huyện Chi Lăng, tỉnh Lạng Sơn)</t>
  </si>
  <si>
    <t>Bình Gia</t>
  </si>
  <si>
    <t>Mỏ đá Nà Deng, xã Hoàng Văn Thụ</t>
  </si>
  <si>
    <t>TÔN CÁC LOẠI</t>
  </si>
  <si>
    <t>10.</t>
  </si>
  <si>
    <t>Tôn Đông Á (thép mạ nhôm kẽm phủ sơn) TD dày 0.35mm loại (0.350*1200)mm</t>
  </si>
  <si>
    <t>Tôn Đông Á (thép mạ nhôm kẽm phủ sơn) TD dày 0.40mm loại (0.400*1200)mm</t>
  </si>
  <si>
    <t>Tôn Đông Á (thép mạ nhôm kẽm phủ sơn) TD dày 0.45mm loại (0.450*1200)mm</t>
  </si>
  <si>
    <t>Tôn Đông Á (thép mạ nhôm kẽm phủ sơn) AZ100 dày 0.35mm loại (0.350*1200)mm</t>
  </si>
  <si>
    <t>Tôn Đông Á (thép mạ nhôm kẽm phủ sơn) AZ100 dày 0.40mm loại (0.400*1200)mm</t>
  </si>
  <si>
    <t>Tôn Đông Á (thép mạ nhôm kẽm phủ sơn) AZ100 dày 0.42mm loại (0.420*1200)mm</t>
  </si>
  <si>
    <t>Tôn Đông Á (thép mạ nhôm kẽm phủ sơn) AZ100 dày 0.45mm loại (0.450*1200)mm</t>
  </si>
  <si>
    <t>11. VẬT LIỆU NGÀNH ĐIỆN</t>
  </si>
  <si>
    <t>12. VẬT LIỆU NGÀNH NƯỚC</t>
  </si>
  <si>
    <t>12.1</t>
  </si>
  <si>
    <t>12.2</t>
  </si>
  <si>
    <t>12.3</t>
  </si>
  <si>
    <t>12.4</t>
  </si>
  <si>
    <t>12.5</t>
  </si>
  <si>
    <t>12.6</t>
  </si>
  <si>
    <t xml:space="preserve">Cánh cửa gỗ nhóm IV,V ( dày 4 cm) </t>
  </si>
  <si>
    <t>7.5</t>
  </si>
  <si>
    <t>Sơn lót chống kiềm</t>
  </si>
  <si>
    <t>Primer for Exterior - S360 (Sơn lót chống kiềm cao cấp ngoại thất</t>
  </si>
  <si>
    <t>Smart Primier -S330 (Sơn lót chống kiềm nội thất và ngoại thất)</t>
  </si>
  <si>
    <t>Primer for Interior - S310 (Sơn lót chống kiềm nội thất)</t>
  </si>
  <si>
    <t>Dòng cao cấp</t>
  </si>
  <si>
    <t>Sơn hãng SKEY (Cty TNHH Đại Nguyên Dương VN)</t>
  </si>
  <si>
    <t>Tani Clean - S620 (Sơn chống mốc, màng sơn bóng)</t>
  </si>
  <si>
    <t>Goeco - S810 (Sơn mịn, độ phủ cao, bền màu)</t>
  </si>
  <si>
    <t>Tani Clean - S820 (Sơn chống tia cực tím, chống bám bụi, chống nóng)</t>
  </si>
  <si>
    <t>Gold Key - S999 (Sơn dùng cho nội ngoại thất)</t>
  </si>
  <si>
    <t>Anti Crack - S850 (Sơn chống thấm, chống tia cực tím)</t>
  </si>
  <si>
    <t>Hodu Skey - S800 (Sơn chịu thời tiết, màng sơn bóng)</t>
  </si>
  <si>
    <t>Hodu Skey - S630 (Sơn kháng khuẩn, chống nấm mốc, màng sơn bóng)</t>
  </si>
  <si>
    <t>Goeco - S610 (Sơn mịn, độ phủ cao)</t>
  </si>
  <si>
    <t>Skey - S600 (Sơn mịn, độ phủ cao)</t>
  </si>
  <si>
    <t>Cao Lộc</t>
  </si>
  <si>
    <t>Mỏ đá, Hồng Phong I, xã Hồng Phong</t>
  </si>
  <si>
    <t>Mỏ đá Hồng Phong IV, xã Tô Hiệu</t>
  </si>
  <si>
    <t>Công ty TNHH MTV Hiếu Hằng</t>
  </si>
  <si>
    <t>Gạch bê tông không nung</t>
  </si>
  <si>
    <t>Gạch đặc GKNHH02 (220 x 100 x 60)mm, mác 100</t>
  </si>
  <si>
    <t>Gạch lỗ GKNHH03 (220 x 105 x 60)mm, mác 75</t>
  </si>
  <si>
    <t>Gạch đặc GKNHH01 (220 x 105 x 65)mm, mác 100</t>
  </si>
  <si>
    <t>Mỏ đá Giang Sơn 1, xã Hồng Phong</t>
  </si>
  <si>
    <t>3.12</t>
  </si>
  <si>
    <t>8.3</t>
  </si>
  <si>
    <t>Sản phẩm Gạch ốp, lát của Công ty CP Tập đoàn VITTO</t>
  </si>
  <si>
    <t>Gạch lát nền nhóm BIa</t>
  </si>
  <si>
    <t>Gạch lát nền G men matt loại 1                                                                 600x600</t>
  </si>
  <si>
    <t>Gạch lát nền G mài bóng loại 1                                                                  600x600</t>
  </si>
  <si>
    <t>Gạch lát nền mài bóng loại 1                                                                     800x800</t>
  </si>
  <si>
    <t>Gạch lát nền mài bóng loại 1                                                                     600x900</t>
  </si>
  <si>
    <t>Gạch lst nền mài bóng loại 1                                                                    600x1200</t>
  </si>
  <si>
    <t>Gạch lát nền nhóm BIIb</t>
  </si>
  <si>
    <t>Gạch lát nền loại 1                                                                                   500x500</t>
  </si>
  <si>
    <t>Gạch lát nền mài bóng loại 1                                                                     500x500</t>
  </si>
  <si>
    <t>Gạch lát nền C loại 1                                                                                600x600</t>
  </si>
  <si>
    <t>Gạch ốp tường, lát nền nhóm BIII</t>
  </si>
  <si>
    <t>Gạch ốp loại 1                                                                                          300x450</t>
  </si>
  <si>
    <t>Gạch ốp loại 1                                                                                          300x600</t>
  </si>
  <si>
    <t>Gạch ốp loại 1                                                                                          300x800</t>
  </si>
  <si>
    <t>Gạch lát loại 1                                                                                          300x300</t>
  </si>
  <si>
    <t>DÂY DẸT - Cu/PVC/PVC (ruột đồng, cách điện PVC, vỏ bọc PVC)</t>
  </si>
  <si>
    <t>DÂY TRÒN - Cu/PVC/PVC (ruột đồng, cách điện PVC, vỏ bọc PVC)</t>
  </si>
  <si>
    <t>DÂY DÍNH CÁCH - Cu/PVC/PVC (ruột đồng, cách điện PVC, vỏ bọc PVC)</t>
  </si>
  <si>
    <t>DÂY XÚP - Cu/PVC ruột đồng, cách điện PVC)</t>
  </si>
  <si>
    <t>11.8</t>
  </si>
  <si>
    <t>Cột</t>
  </si>
  <si>
    <t>1. CỘT ĐIỆN VÀ ỐNG CỐNG BTLT</t>
  </si>
  <si>
    <t>1.1</t>
  </si>
  <si>
    <t>Ống cống bê tông cốt thép</t>
  </si>
  <si>
    <t>Công ty cổ phần Gạch ngói Hợp Thành (Thị trấn Cao Lộc, huyện Cao Lộc, tỉnh Lạng Sơn).</t>
  </si>
  <si>
    <t>R100 - Sơn lót chống kiếm nội thất</t>
  </si>
  <si>
    <t>R110 - Sơn lót chống kiếm nội thất cao cấp Nano</t>
  </si>
  <si>
    <t>R200 - Sơn lót chống kiềm ngoại thất</t>
  </si>
  <si>
    <t>R220 - Sơn lót chống kiềm ngoại thất cao cấp Nano</t>
  </si>
  <si>
    <t>R2000 - Sơn nội thất cao cấp</t>
  </si>
  <si>
    <t>R1000 - Sơn mịn nội thất cao cấp 3 trong 1</t>
  </si>
  <si>
    <t>R3000 - Sơn siêu trắng nội thất</t>
  </si>
  <si>
    <t>R6000 - Sơn bóng nội thất cao cấp Golden Shield</t>
  </si>
  <si>
    <t>R4400 - Sơn Clear phủ bóng cao cấp</t>
  </si>
  <si>
    <t>R8000 - Sơn siêu bóng nội thất Nano</t>
  </si>
  <si>
    <t>R9000 - Sơn nội thất siêu bóng ngọc trai GreenTech 8 trong 1</t>
  </si>
  <si>
    <t>R7700 - Sơn mịn ngoại thất cao cấp 4 trong 1</t>
  </si>
  <si>
    <t>R7000 - Sơn bán bóng ngoại thất Green Shield</t>
  </si>
  <si>
    <t>R8800 - Sơn ngoại thất cao cấp siêu bóng Nano</t>
  </si>
  <si>
    <t>R9900 - Sơn ngoại thất cao cấp chống nóng siêu bóng 9 trong 1</t>
  </si>
  <si>
    <t>R5000 - Sơn chống thấm đa năng màng đàn hồi</t>
  </si>
  <si>
    <t>R5500 - Sơn chống thấm màu cao cấp</t>
  </si>
  <si>
    <t>G900 - Bột bả ngoại thất cao cấp Rego</t>
  </si>
  <si>
    <t>7.6</t>
  </si>
  <si>
    <t>CTCP Công nghệ TINCOM Quốc Tế, Sản phẩm Sơn REGO.</t>
  </si>
  <si>
    <t>G800 - Bột bả nội thất cao cấp Rego</t>
  </si>
  <si>
    <t>Công ty cổ phần Điện và Chiếu sáng An Phú (địa chỉ: thôn 8, xã Phùng Xá, huyện Thạch Thất, thành phố Hà Nội).</t>
  </si>
  <si>
    <t>Cột đèn chiếu sáng liền cần đơn vươn 1,5m</t>
  </si>
  <si>
    <t>Cột thép bát giác, tròn côn liền cần đơn, chân đế M16x240, H=6m, dày 3,0mm</t>
  </si>
  <si>
    <t>Cột thép bát giác, tròn côn liền cần đơn, chân đế M16x240, H=8m, dày 3,0mm</t>
  </si>
  <si>
    <t>Cột thép bát giác, tròn côn liền cần đơn, chân đế M16x240, H=10m, dày 3,0mm</t>
  </si>
  <si>
    <t>Cột thép bát giác, tròn côn liền cần đơn, chân đế M16x240, H=6m, dày 4,0mm</t>
  </si>
  <si>
    <t>Cột thép bát giác, tròn côn liền cần đơn, chân đế M16x240, H=8m, dày 4,0mm</t>
  </si>
  <si>
    <t>Cột thép bát giác, tròn côn liền cần đơn, chân đế M16x240, H=10m, dày 4,0mm</t>
  </si>
  <si>
    <t>Cột thép bát giác, tròn côn liền cần đơn, chân đế M24x300, H=6m, dày 3,0mm</t>
  </si>
  <si>
    <t>Cột thép bát giác, tròn côn liền cần đơn, chân đế M24x300, H=8m, dày 3,0mm</t>
  </si>
  <si>
    <t>Cột thép bát giác, tròn côn liền cần đơn, chân đế M24x300, H=10m, dày 3,0mm</t>
  </si>
  <si>
    <t>Cột thép bát giác, tròn côn liền cần đơn, chân đế M24x300, H=6m, dày 4,0mm</t>
  </si>
  <si>
    <t>Cột thép bát giác, tròn côn liền cần đơn, chân đế M24x300, H=8m, dày 4,0mm</t>
  </si>
  <si>
    <t>Cột thép bát giác, tròn côn liền cần đơn, chân đế M24x300, H=10m, dày 4,0mm</t>
  </si>
  <si>
    <t>Cột thép bát giác, tròn côn D78 (thân cột đèn)</t>
  </si>
  <si>
    <t>Cột thép bát giác, tròn côn 6m - D78 - 3,0mm</t>
  </si>
  <si>
    <t>Cột thép bát giác, tròn côn 8m - D78 - 3,5mm</t>
  </si>
  <si>
    <t>Cột thép bát giác, tròn côn 6m - D78 - 4,0mm</t>
  </si>
  <si>
    <t>Cột thép bát giác, tròn côn 8m - D78 - 4,0mm</t>
  </si>
  <si>
    <t>Cần đèn</t>
  </si>
  <si>
    <t>Cần đèn AP01-D đơn cao 2,0m, vươn 1,5m</t>
  </si>
  <si>
    <t>Cần</t>
  </si>
  <si>
    <t>Cần đèn AP01-K kép cao 2,0m, vươn 1,5m</t>
  </si>
  <si>
    <t>Cần đèn AP05-D đơn cao 1,0m, vươn 1,5m</t>
  </si>
  <si>
    <t>Cần đèn AP05-K kép cao 1,0m, vươn 1,5m</t>
  </si>
  <si>
    <t>Cần đèn AP06-D đơn cao 2,0m, vươn 1,5m</t>
  </si>
  <si>
    <t>Cần đèn AP06-K kép cao 2,0m, vươn 1,5m</t>
  </si>
  <si>
    <t>Đèn LED đường phố</t>
  </si>
  <si>
    <t>Đèn LED Alumos-D 50W</t>
  </si>
  <si>
    <t>Đèn LED Alumos-D 75W</t>
  </si>
  <si>
    <t>Đèn LED Alumos-D 100W</t>
  </si>
  <si>
    <t>Đèn LED Alumos-M 50W</t>
  </si>
  <si>
    <t>Đèn LED Alumos-M 75W</t>
  </si>
  <si>
    <t>Đèn LED Alumos-M 100W</t>
  </si>
  <si>
    <t>Chóa đèn chiếu sáng đường phố</t>
  </si>
  <si>
    <t>SUN-A M70W (không bóng)</t>
  </si>
  <si>
    <t>SUN-A M150W (không bóng)</t>
  </si>
  <si>
    <t>SUN-A M250W (không bóng)</t>
  </si>
  <si>
    <t>PLUTO M70W (không bóng)</t>
  </si>
  <si>
    <t>PLUTO M150W (không bóng)</t>
  </si>
  <si>
    <t>PLUTO M250W (không bóng)</t>
  </si>
  <si>
    <t>Cột đèn sân vườn Trang trí</t>
  </si>
  <si>
    <t>Cột DC02 (Đế ngang đúc, thân thép)</t>
  </si>
  <si>
    <t>Cột DC05B (Đế ngang đúc, thân gang, sơn phủ theo yêu cầu)</t>
  </si>
  <si>
    <t>Cột Arlequin 3,5m</t>
  </si>
  <si>
    <t>Cột Arlequin 4,0m</t>
  </si>
  <si>
    <t>Chùm đèn cột sân vườn</t>
  </si>
  <si>
    <t>CH02-4</t>
  </si>
  <si>
    <t>CH02-5</t>
  </si>
  <si>
    <t>Phụ kiện khác</t>
  </si>
  <si>
    <t>Khung móng M16x240x240x525</t>
  </si>
  <si>
    <t>Khung móng M24x300x300x675</t>
  </si>
  <si>
    <t>Gạch đặc Tuynel</t>
  </si>
  <si>
    <t>Viên</t>
  </si>
  <si>
    <t>Gạch đặc Tuynel, quy cách (210x90x55) mm, Mác 150</t>
  </si>
  <si>
    <t>Cống -D300 miệng bát, dài 1m, không cốt thép</t>
  </si>
  <si>
    <t>Cống -D300 miệng bát, dài 2m, có cốt thép</t>
  </si>
  <si>
    <t>Cống -D400 miệng bằng, dài  1-2m, 1 lớp thép</t>
  </si>
  <si>
    <t>Cống -D400 miệng bát, dài  1-2m, 1 lớp thép</t>
  </si>
  <si>
    <t>Cống -D600 miệng bằng, dài  1-2m, 1 lớp thép</t>
  </si>
  <si>
    <t>Cống -D600 miệng bát, dài  1-2m, 1 lớp thép</t>
  </si>
  <si>
    <t>Cống -D 800 miệng bằng, dài 1-2m, 2 lớp thép</t>
  </si>
  <si>
    <t>Cống -D 800 miệng bát, dài 1- 2m, 2 lớp thép</t>
  </si>
  <si>
    <t>Cống  -D1000, dài 1m, 2 lớp thép</t>
  </si>
  <si>
    <t>Cống D1250/120A, dài 1m, 2 lớp thép</t>
  </si>
  <si>
    <t>Cống D1250/120B, dài 1m, 2 lớp thép</t>
  </si>
  <si>
    <t>Cống D1250/120C, dài 1m, 2 lớp thép</t>
  </si>
  <si>
    <t>Cống D1500/120A, dài 1m, 2 lớp thép</t>
  </si>
  <si>
    <t>Cống D1500/120B, dài 1m, 2 lớp thép</t>
  </si>
  <si>
    <t>Cống D1500/120C, dài 1m, 2 lớp thép</t>
  </si>
  <si>
    <t>Cống D1500/140A, dài 1m, 2 lớp thép</t>
  </si>
  <si>
    <t>Cống D1500/140B, dài 1m, 2 lớp thép</t>
  </si>
  <si>
    <t>Cống D1500/140C, dài 1m, 2 lớp thép</t>
  </si>
  <si>
    <t>Cống D2000, dài 1m, 2 lớp thép</t>
  </si>
  <si>
    <t>Cột H 6,5A, trọng lượng (TL) 421 kg/cột</t>
  </si>
  <si>
    <t>Cột H 6,5B TL 432 kg/cột</t>
  </si>
  <si>
    <t>Cột H 6,5C TL 435 kg/cột</t>
  </si>
  <si>
    <t>Cột LT 7,5A, TL 576 kg/cột</t>
  </si>
  <si>
    <t>Cột LT 7,5B, TL 586 kg/cột</t>
  </si>
  <si>
    <t>Cột LT 7,5C, TL 696 kg/cột</t>
  </si>
  <si>
    <t>Cột LT 8,5A, TL 596 kg/cột</t>
  </si>
  <si>
    <t>Cột LT 8,5B, TL 625 kg/cột</t>
  </si>
  <si>
    <t>Cột LT 8,5C, TL 750 kg/cột</t>
  </si>
  <si>
    <t>Cột LT 12D, TL 1400,00 kg/cột</t>
  </si>
  <si>
    <t>Văn Quan</t>
  </si>
  <si>
    <t>Mỏ đá Lùng Hang, phố Tân An, trị trấn Văn Quan</t>
  </si>
  <si>
    <t>DN 90 x 2,8 - PN 6 - C2</t>
  </si>
  <si>
    <t>DN 200 x 4,9 - PN 6 - C1</t>
  </si>
  <si>
    <t>DN32 x 3,0 PN 16,0</t>
  </si>
  <si>
    <t>Hữu
Lũng</t>
  </si>
  <si>
    <t>Chi
Lăng</t>
  </si>
  <si>
    <t>Thành
phố</t>
  </si>
  <si>
    <t xml:space="preserve">Cao
Lộc </t>
  </si>
  <si>
    <t>Văn
Lãng</t>
  </si>
  <si>
    <t>Tràng
Định</t>
  </si>
  <si>
    <t>Lộc
Bình</t>
  </si>
  <si>
    <t>Đình
Lập</t>
  </si>
  <si>
    <t>Văn
Quan</t>
  </si>
  <si>
    <t>Bình
Gia</t>
  </si>
  <si>
    <t>Bắc
Sơn</t>
  </si>
  <si>
    <t>11.9</t>
  </si>
  <si>
    <t>VCSF 1x2.0</t>
  </si>
  <si>
    <t xml:space="preserve">VCSF 1x2.5 </t>
  </si>
  <si>
    <t>VCSF 1x3.0</t>
  </si>
  <si>
    <t>VCSF 1x4.0</t>
  </si>
  <si>
    <t>VCSF 1x6.0</t>
  </si>
  <si>
    <t>VCSF 1x8.0</t>
  </si>
  <si>
    <t>VCSF 1x10</t>
  </si>
  <si>
    <t>VC 1 x 1.5</t>
  </si>
  <si>
    <t>VC 1 x 2.0</t>
  </si>
  <si>
    <t>VC 1 x 2.5</t>
  </si>
  <si>
    <t>VC 1 x 4.0</t>
  </si>
  <si>
    <t>VC 1 x 6.0</t>
  </si>
  <si>
    <t>VCTFK 2x2.0</t>
  </si>
  <si>
    <t>VCTFK 2x2.5</t>
  </si>
  <si>
    <t>VCTFK 2x3.0</t>
  </si>
  <si>
    <t>VCTFK 2x4.0</t>
  </si>
  <si>
    <t>VCTFK 2x6.0</t>
  </si>
  <si>
    <t>VCTF 4x2.0</t>
  </si>
  <si>
    <t>VCTF 4x2.5</t>
  </si>
  <si>
    <t>VCTF 4x3.0</t>
  </si>
  <si>
    <t>VCTF 4x4.0</t>
  </si>
  <si>
    <t>VCTF 4x6.0</t>
  </si>
  <si>
    <t>CV 1x4</t>
  </si>
  <si>
    <t>CV 1x6</t>
  </si>
  <si>
    <t>CV 1x10</t>
  </si>
  <si>
    <t>CV 1x16</t>
  </si>
  <si>
    <t>CV 1x25</t>
  </si>
  <si>
    <t>CV 1x35</t>
  </si>
  <si>
    <t>CV 1x50</t>
  </si>
  <si>
    <t>CV 1x70</t>
  </si>
  <si>
    <t>CV 1x95</t>
  </si>
  <si>
    <t>CV 1x120</t>
  </si>
  <si>
    <t>CV 1x150</t>
  </si>
  <si>
    <t>CV 1x185</t>
  </si>
  <si>
    <t>CXV 1x4</t>
  </si>
  <si>
    <t>CXV 1x6</t>
  </si>
  <si>
    <t>CXV 1x10</t>
  </si>
  <si>
    <t>CXV 1x16</t>
  </si>
  <si>
    <t>CXV 1x25</t>
  </si>
  <si>
    <t>CXV 1x35</t>
  </si>
  <si>
    <t>CXV 1x50</t>
  </si>
  <si>
    <t>CXV 1x95</t>
  </si>
  <si>
    <t>CXV 1x120</t>
  </si>
  <si>
    <t>CXV 1x150</t>
  </si>
  <si>
    <t>CXV 1x185</t>
  </si>
  <si>
    <t>CXV 3x10x1x6</t>
  </si>
  <si>
    <t>CXV 3x16+1x10</t>
  </si>
  <si>
    <t>CXV 3x25+1x16</t>
  </si>
  <si>
    <t>CXV 3x35+1x16</t>
  </si>
  <si>
    <t>CXV 3x50+1x25</t>
  </si>
  <si>
    <t>CXV 3x70+1x35</t>
  </si>
  <si>
    <t>CXV 3x95+1x50</t>
  </si>
  <si>
    <t>CXV 3x120+1x70</t>
  </si>
  <si>
    <t>CXV 3x150+1x95</t>
  </si>
  <si>
    <t>CXV 3x185+1x120</t>
  </si>
  <si>
    <t>CXV 4x10</t>
  </si>
  <si>
    <t>CXV 4x16</t>
  </si>
  <si>
    <t>CXV 4x25</t>
  </si>
  <si>
    <t>CXV 4x35</t>
  </si>
  <si>
    <t>CXV 4x50</t>
  </si>
  <si>
    <t>CXV 4x95</t>
  </si>
  <si>
    <t>CXV 4x120</t>
  </si>
  <si>
    <t>CXV 4x150</t>
  </si>
  <si>
    <t>CXV 4x185</t>
  </si>
  <si>
    <t>DSTA 2x2.5</t>
  </si>
  <si>
    <t>DSTA 2x4</t>
  </si>
  <si>
    <t>DSTA 2x6</t>
  </si>
  <si>
    <t>DSTA 2x10</t>
  </si>
  <si>
    <t>DSTA 2x16</t>
  </si>
  <si>
    <t>DSTA 2x25</t>
  </si>
  <si>
    <t>DSTA 2x35</t>
  </si>
  <si>
    <t>DSTA 2x50</t>
  </si>
  <si>
    <t>DSTA 2x95</t>
  </si>
  <si>
    <t>DSTA 2x120</t>
  </si>
  <si>
    <t>DSTA 2x150</t>
  </si>
  <si>
    <t>DSTA 3x4+1x2.5</t>
  </si>
  <si>
    <t>DSTA 3x6+1x4</t>
  </si>
  <si>
    <t>DSTA 3x10x1x6</t>
  </si>
  <si>
    <t>DSTA 3x16+1x10</t>
  </si>
  <si>
    <t>DSTA 3x25+1x16</t>
  </si>
  <si>
    <t>DSTA 3x35+1x16</t>
  </si>
  <si>
    <t>DSTA 3x50+1x25</t>
  </si>
  <si>
    <t>DSTA 3x95+1x50</t>
  </si>
  <si>
    <t>DSTA 3x120+1x70</t>
  </si>
  <si>
    <t>DSTA 3x150+1x95</t>
  </si>
  <si>
    <t>DSTA 3x185+1x120</t>
  </si>
  <si>
    <t>DSTA 4x2.5</t>
  </si>
  <si>
    <t>DSTA 4x4</t>
  </si>
  <si>
    <t>DSTA 4x6</t>
  </si>
  <si>
    <t>DSTA 4x10</t>
  </si>
  <si>
    <t>DSTA 4x16</t>
  </si>
  <si>
    <t>DSTA 4x25</t>
  </si>
  <si>
    <t>DSTA 4x35</t>
  </si>
  <si>
    <t>DSTA 4x50</t>
  </si>
  <si>
    <t>DSTA 4x70</t>
  </si>
  <si>
    <t>DSTA 4x95</t>
  </si>
  <si>
    <t>DSTA 4x120</t>
  </si>
  <si>
    <t>DSTA 4x150</t>
  </si>
  <si>
    <t>DSTA 4x185</t>
  </si>
  <si>
    <t>AV 16</t>
  </si>
  <si>
    <t>AV 35</t>
  </si>
  <si>
    <t>AV 50</t>
  </si>
  <si>
    <t>AV 95</t>
  </si>
  <si>
    <t>AV 120</t>
  </si>
  <si>
    <t>AV 150</t>
  </si>
  <si>
    <t>AV 185</t>
  </si>
  <si>
    <t>ABC 2x25</t>
  </si>
  <si>
    <t>ABC 2x35</t>
  </si>
  <si>
    <t>ABC 2x50</t>
  </si>
  <si>
    <t>ABC 2x95</t>
  </si>
  <si>
    <t>ABC 2x120</t>
  </si>
  <si>
    <t>ABC 2x150</t>
  </si>
  <si>
    <t>ABC 2x185</t>
  </si>
  <si>
    <t>ABC 4x25</t>
  </si>
  <si>
    <t>ABC 4x35</t>
  </si>
  <si>
    <t>ABC 4x50</t>
  </si>
  <si>
    <t>ABC 4x95</t>
  </si>
  <si>
    <t>ABC 4x120</t>
  </si>
  <si>
    <t>ABC 4x150</t>
  </si>
  <si>
    <t>ABC 4x185</t>
  </si>
  <si>
    <t>AC 50/8</t>
  </si>
  <si>
    <t>AC 70/11</t>
  </si>
  <si>
    <t>AC 95/16</t>
  </si>
  <si>
    <t>AC 120/19</t>
  </si>
  <si>
    <t>AC 150/19</t>
  </si>
  <si>
    <t>AC 150/24</t>
  </si>
  <si>
    <t>AC 185/24</t>
  </si>
  <si>
    <t>AC 185/29</t>
  </si>
  <si>
    <t>Sơn hãng EVEREST (Công ty cổ phần TDD Việt Nam)</t>
  </si>
  <si>
    <t>Sơn phủ ngoại thất</t>
  </si>
  <si>
    <t>Sơn phủ ngoại thất Everest Bio (1 lit/thùng)</t>
  </si>
  <si>
    <t>Sơn phủ ngoại thất Everest Bio (5 lit/thùng)</t>
  </si>
  <si>
    <t>Sơn phủ ngoại thất Everest Bio (15 lit/thùng)</t>
  </si>
  <si>
    <t>Sơn phủ ngoại thất Everest Nano (1 lit/thùng)</t>
  </si>
  <si>
    <t>Sơn phủ ngoại thất Everest Nano (5 lit/thùng)</t>
  </si>
  <si>
    <t>Sơn phủ ngoại thất Everest Nano (15 lit/thùng)</t>
  </si>
  <si>
    <t>Sơn phủ nội thất Everest Satin (1 lit/thùng)</t>
  </si>
  <si>
    <t>Sơn phủ nội thất Everest Satin (5 lit/thùng)</t>
  </si>
  <si>
    <t>Sơn phủ nội thất Everest Satin (15 lit/thùng)</t>
  </si>
  <si>
    <t>Sơn phủ nội thất Everest Silk (5 lit/thùng)</t>
  </si>
  <si>
    <t>Sơn phủ nội thất Everest Silk (15 lit/thùng)</t>
  </si>
  <si>
    <t>Sơn lót ngoại thất Everest Plus (5 lit/thùng)</t>
  </si>
  <si>
    <t>Sơn lót ngoại thất Everest Plus (18 lit/thùng)</t>
  </si>
  <si>
    <t>Sơn chống thấm chuyên dụng Everest Sand (1 lit/thùng)</t>
  </si>
  <si>
    <t>Sơn chống thấm chuyên dụng Everest Sand (5 lit/thùng)</t>
  </si>
  <si>
    <t>Sơn chống thấm chuyên dụng Everest Sand (20 lit/thùng)</t>
  </si>
  <si>
    <t>Bột trét tường nội &amp; ngoại thất Everest Plus (40kg/bao)</t>
  </si>
  <si>
    <t>Bột trét tường nội &amp; ngoại thất Everest ngoại thất (40kg/bao)</t>
  </si>
  <si>
    <t>Bột trét tường nội &amp; ngoại thất Everest nội thất (40kg/bao)</t>
  </si>
  <si>
    <t>Sơn phủ ngoại thất cao cấp</t>
  </si>
  <si>
    <t>Sơn phủ nội thất cao cấp</t>
  </si>
  <si>
    <t>Sơn lót ngoại thất cao cấp</t>
  </si>
  <si>
    <t>Chống thấm chuyên dụng cao cấp</t>
  </si>
  <si>
    <t>Bột trét tường nội &amp; ngoại thất cao cấp</t>
  </si>
  <si>
    <t>Sơn phủ ngoại thất trung cấp</t>
  </si>
  <si>
    <t>Sơn phủ ngoại thất Cali Extra chống thấm hiệu quả (5 lit/thùng)</t>
  </si>
  <si>
    <t>Sơn phủ ngoại thất Cali Extra chống thấm hiệu quả (18 lit/thùng)</t>
  </si>
  <si>
    <t>Sơn phủ ngoại thất Maxi Cali che lấp hiệu quả (1 lit/thùng)</t>
  </si>
  <si>
    <t>Sơn phủ ngoại thất Maxi Cali che lấp hiệu quả (5 lit/thùng)</t>
  </si>
  <si>
    <t>Sơn phủ ngoại thất Maxi Cali che lấp hiệu quả (18 lit/thùng)</t>
  </si>
  <si>
    <t>Sơn phủ nội thất trung cấp</t>
  </si>
  <si>
    <t>Sơn phủ nội thất Cali Extra lau chùi hiệu quả (5 lit/thùng)</t>
  </si>
  <si>
    <t>Sơn phủ nội thất Cali Extra lau chùi hiệu quả (18 lit/thùng)</t>
  </si>
  <si>
    <t>Sơn phủ nội thất Maxi Cali che lấp hiệu quả (5 lit/thùng)</t>
  </si>
  <si>
    <t>Sơn phủ nội thất Maxi Cali che lấp hiệu quả (18 lit/thùng)</t>
  </si>
  <si>
    <t>Sơn phủ nội thất Maxi Cali siêu trắng (5 lit/thùng)</t>
  </si>
  <si>
    <t>Sơn phủ nội thất Maxi Cali siêu trắng (18 lit/thùng)</t>
  </si>
  <si>
    <t>Sơn phủ nội thất Limo nội thất (4.5 lit/thùng)</t>
  </si>
  <si>
    <t>Sơn phủ nội thất Limo nội thất (17 lit/thùng)</t>
  </si>
  <si>
    <t>Sơn lót ngoại thất trung cấp</t>
  </si>
  <si>
    <t>Sơn lót ngoại thất Maxi Cali thế hệ mới (4.5 lit/thùng)</t>
  </si>
  <si>
    <t>Sơn lót ngoại thất Maxi Cali thế hệ mới (18 lit/thùng)</t>
  </si>
  <si>
    <t>Sơn chống thấm chuyên dụng Limo Ct chống thấm pha xi măng (1 kg/thùng)</t>
  </si>
  <si>
    <t>Sơn chống thấm chuyên dụng Limo Ct chống thấm pha xi măng (4.5 kg/thùng)</t>
  </si>
  <si>
    <t>Sơn chống thấm chuyên dụng Limo Ct chống thấm pha xi măng (18 kg/thùng)</t>
  </si>
  <si>
    <t>Bột trét tường trung cấp</t>
  </si>
  <si>
    <t>Sơn hãng SHERWIN-WILLIAMS (Công ty cổ phần TDD Việt Nam)</t>
  </si>
  <si>
    <t>Bột trét tường USA ngoại thất (40kg/bao)</t>
  </si>
  <si>
    <t>Bột trét tường USA nội thất (40kg/bao)</t>
  </si>
  <si>
    <t>Bột trét tường Maxi Cali ngoại thất (40kg/bao)</t>
  </si>
  <si>
    <t>Bột trét tường Maxi Cali nội thất (40kg/bao)</t>
  </si>
  <si>
    <t>Sơn phủ ngoại thất Sherlastic (5kg/thùng)</t>
  </si>
  <si>
    <t>Sơn phủ nội thất Promar 400 (5kg/thùng)</t>
  </si>
  <si>
    <t>Sơn phủ nội thất Supperpaint (5kg/thùng)</t>
  </si>
  <si>
    <t>Sơn phủ nội thất Paint Shield (5kg/thùng)</t>
  </si>
  <si>
    <t>Sơn phủ nội thất Dry Erase (1kg/thùng)</t>
  </si>
  <si>
    <t>Sơn phủ nội thất Dry Erase (5kg/thùng)</t>
  </si>
  <si>
    <t>Sơn lót nội thất/ngoại thất</t>
  </si>
  <si>
    <t>Sơn lót nội thất/ ngoại thất Quick Dry (5kg/thùng)</t>
  </si>
  <si>
    <t>Sơn lót nội thất/ ngoại thất Loxon (5kg/thùng)</t>
  </si>
  <si>
    <t>3. XI MĂNG, BÊ TÔNG THƯƠNG PHẨM, CÁT NGHIỀN, GẠCH XÂY</t>
  </si>
  <si>
    <t>PCB30</t>
  </si>
  <si>
    <t>PCB40</t>
  </si>
  <si>
    <t>Sơn lót ngoại thất Everest Sealer 3 in 1 (5 lit/thùng)</t>
  </si>
  <si>
    <t>Sơn lót ngoại thất Everest Sealer 3 in 1 (18 lit/thùng)</t>
  </si>
  <si>
    <t>Sơn lót nội thất Everest Sealer 3 in 1 (5 lit/thùng)</t>
  </si>
  <si>
    <t>Sơn lót nội thất Everest Sealer 3 in 1 (18 lit/thùng)</t>
  </si>
  <si>
    <t>Chống thấm chuyên dụng trung cấp</t>
  </si>
  <si>
    <t>Sơn chống thấm chuyên dụng keo bóng nước (1 lit/thùng)</t>
  </si>
  <si>
    <t>Sơn chống thấm chuyên dụng keo bóng nước (5 lit/thùng)</t>
  </si>
  <si>
    <t>Sơn phủ ngoại thất Solo Flat (1 gallon/thùng)</t>
  </si>
  <si>
    <t>Sơn phủ ngoại thất Solo Gloss (1 gallon/thùng)</t>
  </si>
  <si>
    <t>Sơn phủ ngoại thất Superpaint (1 gallon/thùng)</t>
  </si>
  <si>
    <t>Sơn lót nội thất/ ngoại thất Loxon (4kg/thùng)</t>
  </si>
  <si>
    <t>Công ty TNHH Đại Long Bình</t>
  </si>
  <si>
    <t>Xi măng Thành Thắng (Xi măng pooclang hỗn hợp)</t>
  </si>
  <si>
    <t>Cột điện bê tông ly tâm PC,I</t>
  </si>
  <si>
    <t>PC,I-7,5-160-2,0</t>
  </si>
  <si>
    <t>PC,I-7,5-160-3,0</t>
  </si>
  <si>
    <t>PC,I-7,5-160-5,4</t>
  </si>
  <si>
    <t>PC,I-7,5-190-4,3</t>
  </si>
  <si>
    <t>PC,I-7,5-190-6,0</t>
  </si>
  <si>
    <t>PC,I-8,5-160-2,0</t>
  </si>
  <si>
    <t>PC,I-8,5-160-2,5</t>
  </si>
  <si>
    <t>PC,I-8,5-160-3,0</t>
  </si>
  <si>
    <t>PC,I-8,5-160-4,3</t>
  </si>
  <si>
    <t>PC,I-8,5-190-3,0</t>
  </si>
  <si>
    <t>PC,I-8,5-190-4,3</t>
  </si>
  <si>
    <t>PC,I-8,5-190-5,0</t>
  </si>
  <si>
    <t>PC,I-10-190-3,5</t>
  </si>
  <si>
    <t>PC,I-10-190-4,3</t>
  </si>
  <si>
    <t>PC,I-10-190-5,0</t>
  </si>
  <si>
    <t>PC,I-12-190-3,5</t>
  </si>
  <si>
    <t>PC,I-12-190-4,3</t>
  </si>
  <si>
    <t>PC,I-12-190-5,4</t>
  </si>
  <si>
    <t>PC,I-12-190-7,2</t>
  </si>
  <si>
    <t>PC,I-12-190-9,0</t>
  </si>
  <si>
    <t>PC,I-12-190-10,0</t>
  </si>
  <si>
    <t>PC,I-14-190-8,5</t>
  </si>
  <si>
    <t>PC,I-14-190-11,0</t>
  </si>
  <si>
    <t>PC,I-14-190-13,0</t>
  </si>
  <si>
    <t>PC,I-16-190-9,2</t>
  </si>
  <si>
    <t>PC,I-16-190-11,0</t>
  </si>
  <si>
    <t>PC,I-16-190-13,0</t>
  </si>
  <si>
    <t>PC,I-18-190-9,2</t>
  </si>
  <si>
    <t>PC,I-18-190-11,0</t>
  </si>
  <si>
    <t>PC,I-18-190-12,0</t>
  </si>
  <si>
    <t>PC,I-18-190-13,0</t>
  </si>
  <si>
    <t>PC,I-20-190-9,2</t>
  </si>
  <si>
    <t>PC,I-20-190-11,0</t>
  </si>
  <si>
    <t>PC,I-20-190-13,0</t>
  </si>
  <si>
    <t>PC,I-20-190-14,0</t>
  </si>
  <si>
    <t>Matít KL-5T hai thành phần chịu mài mòn loại mịn (25kg/thùng)</t>
  </si>
  <si>
    <t>Matít KL-5T hai thành phần chịu mài mòn loại thô (25kg/thùng)</t>
  </si>
  <si>
    <t>Sơn ngoài trời loại K-280 (20kg/thùng) - Màu nhạt</t>
  </si>
  <si>
    <t>Sơn ngoài trời loại K-280 (20kg/thùng) - Màu đậm</t>
  </si>
  <si>
    <t>Sơn tráng trần trong nhà loại K10 - Gold (20kg/thùng)</t>
  </si>
  <si>
    <t>(Giá đã bao gồm chi phí bốc xếp lên phương tiện vận chuyển bên mua tại kho bãi của Công ty gạch ngói Hợp Thành).</t>
  </si>
  <si>
    <t>11.10</t>
  </si>
  <si>
    <t>Công ty cổ phần Fusi Electric</t>
  </si>
  <si>
    <t>Đèn đường LED</t>
  </si>
  <si>
    <t>Đèn ELST-01A, công suất 40W, chống sét 10KV, lập trình 5 cấp</t>
  </si>
  <si>
    <t>Đèn ELST-01A, công suất 60W, chống sét 10KV, lập trình 5 cấp</t>
  </si>
  <si>
    <t>Đèn ELST-01A, công suất 80W, chống sét 10KV, lập trình 5 cấp</t>
  </si>
  <si>
    <t>Đèn ELST-01A, công suất 100W, chống sét 10KV, lập trình 5 cấp</t>
  </si>
  <si>
    <t>Đèn ELST-01A, công suất 120W, chống sét 10KV, lập trình 5 cấp</t>
  </si>
  <si>
    <t>Đèn ELST-01A, công suất 150W, chống sét 10KV, lập trình 5 cấp</t>
  </si>
  <si>
    <t>Đèn ELST-01A, công suất 200W, chống sét 10KV, lập trình 5 cấp</t>
  </si>
  <si>
    <t>Đèn ELST-01A, công suất 240W, chống sét 10KV, lập trình 5 cấp</t>
  </si>
  <si>
    <t>C-10</t>
  </si>
  <si>
    <t>C-50</t>
  </si>
  <si>
    <t>Cửa đi PANO kính:</t>
  </si>
  <si>
    <t>KÍnh trắng dầy 5mm</t>
  </si>
  <si>
    <t xml:space="preserve">Cửa sơn tĩnh điện sần ngoài trời </t>
  </si>
  <si>
    <t>KT cửa: Theo yêu cầu</t>
  </si>
  <si>
    <t>Phụ kiện Đồng bộ: Bản lề, chốt, tay cầm, then cài...Chưa bao gồm khoá</t>
  </si>
  <si>
    <t>Phụ kiện Đồng bộ: Bản lề, chốt, tay cầm</t>
  </si>
  <si>
    <t>Loại (6x8)cm</t>
  </si>
  <si>
    <t>Loại (8x8)cm</t>
  </si>
  <si>
    <t>Cáp CV-10  mm²</t>
  </si>
  <si>
    <t>Cáp CV-16 mm²</t>
  </si>
  <si>
    <t>Cáp CV-25 mm²</t>
  </si>
  <si>
    <t>Cáp CV-35  mm²</t>
  </si>
  <si>
    <t>Cáp CV-50  mm²</t>
  </si>
  <si>
    <t>Cáp CV-70  mm²</t>
  </si>
  <si>
    <t>Cáp CV-95  mm²</t>
  </si>
  <si>
    <t>Cáp CV-120  mm²</t>
  </si>
  <si>
    <t>Cáp CV-150  mm²</t>
  </si>
  <si>
    <t>Cáp CVV-(1x10 mm²)</t>
  </si>
  <si>
    <t>Cáp CVV-(1x16 mm²)</t>
  </si>
  <si>
    <t xml:space="preserve">Cáp CVV-(1x25 mm²) </t>
  </si>
  <si>
    <t>Cáp CVV-(1x35 mm²)</t>
  </si>
  <si>
    <t xml:space="preserve">Cáp CVV-(1x50 mm²) </t>
  </si>
  <si>
    <t>Cáp CVV-(1x70 mm²)</t>
  </si>
  <si>
    <t>Cáp CVV-(1x95 mm²)</t>
  </si>
  <si>
    <t xml:space="preserve">Cáp CVV-(1x120 mm²) </t>
  </si>
  <si>
    <t>Cửa sổ kính mở quay:</t>
  </si>
  <si>
    <t>Cửa sổ thép kính mở trượt:</t>
  </si>
  <si>
    <t>Phụ kiện Đồng bộ: Ray trượt, bánh xe, chốt, tay cầm</t>
  </si>
  <si>
    <t>2 Ruột mềm</t>
  </si>
  <si>
    <t>VCm-T - Tròn 2x0,75 mm²</t>
  </si>
  <si>
    <t>VCm-T - Tròn 2x1,0 mm²</t>
  </si>
  <si>
    <t>VCm-T - Tròn 2x1,5 mm²</t>
  </si>
  <si>
    <t>VCm-T - Tròn 2x2,5 mm²</t>
  </si>
  <si>
    <t>VCm-T - Tròn 2x4,0 mm²</t>
  </si>
  <si>
    <t>VCm-T - Tròn 2x6,0 mm²</t>
  </si>
  <si>
    <t>3 Ruột mềm</t>
  </si>
  <si>
    <t>VCm-T - Tròn 3x0,75 mm²</t>
  </si>
  <si>
    <t>VCm-T - Tròn 3x1,0 mm²</t>
  </si>
  <si>
    <t>VCm-T - Tròn 3x1,5 mm²</t>
  </si>
  <si>
    <t>VCm-T - Tròn 3x2,5 mm²</t>
  </si>
  <si>
    <t>VCm-T - Tròn 3x4,0 mm²</t>
  </si>
  <si>
    <t>VCm-T - Tròn 3x6,0 mm²</t>
  </si>
  <si>
    <t>4 Ruột mềm</t>
  </si>
  <si>
    <t>VCm-T - Tròn 4x0,75 mm²</t>
  </si>
  <si>
    <t>VCm-T - Tròn 4x1,0 mm²</t>
  </si>
  <si>
    <t>VCm-T - Tròn 4x1,5 mm²</t>
  </si>
  <si>
    <t>VCm-T - Tròn 4x2,5 mm²</t>
  </si>
  <si>
    <t>VCm-T - Tròn 4x4,0 mm²</t>
  </si>
  <si>
    <t>VCm-T - Tròn 4x6,0 mm²</t>
  </si>
  <si>
    <t>DÂY ĐƠN 7 SỢI BỌC NHỰA PVC - Cu/PVC  (ruột đồng, cách điện PVC)</t>
  </si>
  <si>
    <t>CV - Đơn 1x1,5 mm²</t>
  </si>
  <si>
    <t>CV - Đơn 1x2,5 mm²</t>
  </si>
  <si>
    <t>CV - Đơn 1x4,0 mm²</t>
  </si>
  <si>
    <t>CV - Đơn 1x6,0 mm²</t>
  </si>
  <si>
    <t xml:space="preserve">CÁP ĐƠN - HẠ THẾ (Cu/PVC) </t>
  </si>
  <si>
    <t>CÁP 1 LÕI - HẠ THẾ (Cu/PVC/PVC)</t>
  </si>
  <si>
    <t>Cáp CVV-(1x150 mm²)</t>
  </si>
  <si>
    <t>Cáp CVV-(1x185 mm²)</t>
  </si>
  <si>
    <t>Cáp CVV-(1x240 mm²)</t>
  </si>
  <si>
    <t>Cáp CVV-(1x300 mm²)</t>
  </si>
  <si>
    <t xml:space="preserve">Cáp CVV-(1x400 mm²) </t>
  </si>
  <si>
    <t>CÁP (3+1) LÕI - HẠ THẾ (Cu/PVC/PVC)</t>
  </si>
  <si>
    <t>Cáp CVV-(3x10 mm² +1x6 mm²)</t>
  </si>
  <si>
    <t>Cáp CVV-(3x16mm² +1x10mm²)</t>
  </si>
  <si>
    <t>Cáp CVV-(3x25 mm² +1x16mm²)</t>
  </si>
  <si>
    <t>Cáp CVV-(3x35 mm² +1x16 mm²)</t>
  </si>
  <si>
    <t>Cáp CVV-(3x35 mm²  +1x25 mm²)</t>
  </si>
  <si>
    <t xml:space="preserve">Cáp CVV-(3x50 mm² +1x25 mm²) </t>
  </si>
  <si>
    <t>Cáp CVV-(3x50 mm² +1x35mm²)</t>
  </si>
  <si>
    <t>Cáp CVV-(3x70mm² +1x35mm²)</t>
  </si>
  <si>
    <t>Cáp CVV-(3x70mm² +1x50mm²)</t>
  </si>
  <si>
    <t>Cáp CVV-(3x95mm² +1x50mm²)</t>
  </si>
  <si>
    <t>Cáp CVV-(3x95mm² +1x70mm²)</t>
  </si>
  <si>
    <t>Cáp CVV-(3x120mm² +1x70mm²)</t>
  </si>
  <si>
    <t>Cáp CVV-(3x120mm² +1x95mm²)</t>
  </si>
  <si>
    <t>Cáp CVV-(3x150mm² +1x70mm²)</t>
  </si>
  <si>
    <t>Cáp CVV-(3x150mm² +1x95mm²)</t>
  </si>
  <si>
    <t>CÁP 4 LÕI - HẠ THẾ (Cu/PVC/PVC)</t>
  </si>
  <si>
    <t>Cáp CVV-(4x10 mm²)</t>
  </si>
  <si>
    <t>Cáp CVV-(4x16 mm²)</t>
  </si>
  <si>
    <t>Cáp CVV-(4x25 mm²)</t>
  </si>
  <si>
    <t>Cáp CVV-(4x35 mm²)</t>
  </si>
  <si>
    <t>Cáp CVV-(4x50 mm²)</t>
  </si>
  <si>
    <t>Cáp CVV-(4x70 mm²)</t>
  </si>
  <si>
    <t>Cáp CVV-(4x95 mm²)</t>
  </si>
  <si>
    <t>Cáp CVV-(4x120 mm²)</t>
  </si>
  <si>
    <t>Cáp CVV-(4x150 mm²)</t>
  </si>
  <si>
    <t>Cáp CVV-(4x185 mm²)</t>
  </si>
  <si>
    <t>Cáp CVV-(4x240 mm²)</t>
  </si>
  <si>
    <t>Cáp CVV-(4x300 mm²)</t>
  </si>
  <si>
    <t>CÁP 1 LÕI - HẠ THẾ (Cu/XLPE/PVC)</t>
  </si>
  <si>
    <t xml:space="preserve">Cáp CXV-(1x10 mm²) </t>
  </si>
  <si>
    <t xml:space="preserve">Cáp CXV-(1x16 mm²) </t>
  </si>
  <si>
    <t xml:space="preserve">Cáp CXV-(1x25 mm²) </t>
  </si>
  <si>
    <t>Cáp CXV-(1x35 mm²)</t>
  </si>
  <si>
    <t xml:space="preserve">Cáp CXV-(1x50 mm²) </t>
  </si>
  <si>
    <t xml:space="preserve">Cáp CXV-(1x70 mm²) </t>
  </si>
  <si>
    <t>Cáp CXV-(1x95 mm²)</t>
  </si>
  <si>
    <t xml:space="preserve">Cáp CXV-(1x120 mm²) </t>
  </si>
  <si>
    <t xml:space="preserve">Cáp CXV-(1x150 mm²) </t>
  </si>
  <si>
    <t xml:space="preserve">Cáp CXV-(1x185 mm²) </t>
  </si>
  <si>
    <t xml:space="preserve">Cáp CXV-(1x240 mm²) </t>
  </si>
  <si>
    <t>CÁP (3+1) LÕI - HẠ THẾ (Cu/XLPE/PVC)</t>
  </si>
  <si>
    <t>Cáp CXV-(3x16mm² +1x10mm²)</t>
  </si>
  <si>
    <t>Cáp CXV-(3x25mm² +1x10mm²)</t>
  </si>
  <si>
    <t>Cáp CXV-(3x25mm² +1x16mm²)</t>
  </si>
  <si>
    <t>Cáp CXV-(3x35mm² +1x16mm²)</t>
  </si>
  <si>
    <t>Cáp CXV-(3x35mm² +1x25mm²)</t>
  </si>
  <si>
    <t>Cáp CXV-(3x50mm² +1x25mm²)</t>
  </si>
  <si>
    <t>Cáp CXV-(3x50mm² +1x35mm²)</t>
  </si>
  <si>
    <t>Cáp CXV-(3x70mm² +1x35mm²)</t>
  </si>
  <si>
    <t>Cáp CXV-(3x70mm² +1x50mm²)</t>
  </si>
  <si>
    <t>Cáp CXV-(3x95mm² +1x50mm²)</t>
  </si>
  <si>
    <t>Cáp CXV-(3x95mm² +1x70mm²)</t>
  </si>
  <si>
    <t>Cáp CXV-(3x120mm² +1x70mm²)</t>
  </si>
  <si>
    <t>Cáp CXV-(3x120mm² +1x95mm²)</t>
  </si>
  <si>
    <t>Cáp CXV-(3x150mm² +1x70mm²)</t>
  </si>
  <si>
    <t>Cáp CXV-(3x150mm² +1x95mm²)</t>
  </si>
  <si>
    <t>Cáp CXV-(3x150mm² +1x120mm²)</t>
  </si>
  <si>
    <t xml:space="preserve">Cáp CXV-(4x10 mm²) </t>
  </si>
  <si>
    <t xml:space="preserve">Cáp CXV-(4x16 mm²) </t>
  </si>
  <si>
    <t>Cáp CXV-(4x25 mm²)</t>
  </si>
  <si>
    <t xml:space="preserve">Cáp CXV-(4x35 mm²) </t>
  </si>
  <si>
    <t xml:space="preserve">Cáp CXV-(4x50 mm²) </t>
  </si>
  <si>
    <t>Cáp CXV-(4x70 mm²)</t>
  </si>
  <si>
    <t xml:space="preserve">Cáp CXV-(4x95 mm²) </t>
  </si>
  <si>
    <t xml:space="preserve">Cáp CXV-(4x120 mm²) </t>
  </si>
  <si>
    <t>Cáp CXV-(4x150 mm²)</t>
  </si>
  <si>
    <t>Cáp CXV-(4x185 mm²)</t>
  </si>
  <si>
    <t xml:space="preserve">Cáp CXV-(4x240 mm²) </t>
  </si>
  <si>
    <t>Cáp CXV-(4x300 mm²)</t>
  </si>
  <si>
    <t>Cáp CXV-(4x400 mm²)</t>
  </si>
  <si>
    <t>DÂY ĐƠN - Cu/PVC  (ruột đồng, cách điện PVC)</t>
  </si>
  <si>
    <t>VCm - Đơn 1x0,75 mm²</t>
  </si>
  <si>
    <t>VCm - Đơn 1x1,0 mm²</t>
  </si>
  <si>
    <t>VCm - Đơn 1x1,5  mm²</t>
  </si>
  <si>
    <t>VCm - Đơn 1x2,5  mm²</t>
  </si>
  <si>
    <t>VCm - Đơn 1x4,0 mm²</t>
  </si>
  <si>
    <t>VCm - Đơn 1x6,0 mm²</t>
  </si>
  <si>
    <t>VCm - Đơn 1x10 mm²</t>
  </si>
  <si>
    <t>VCm-DK - Dính cách 2x1,5 mm²</t>
  </si>
  <si>
    <t>VCm-DK - Dính cách 2x4,0 mm²</t>
  </si>
  <si>
    <t>VCm-DK - Dính cách 2x2,5 mm²</t>
  </si>
  <si>
    <t>VCm-X - Xúp 2x0,75 mm²</t>
  </si>
  <si>
    <t>VCm-D - Dẹt 3x0,75 mm²</t>
  </si>
  <si>
    <t>VCm-D - Dẹt 2x6,0 mm²</t>
  </si>
  <si>
    <t>VCm-D - Dẹt 2x4,0 mm²</t>
  </si>
  <si>
    <t>VCm-D - Dẹt 2x2,5 mm²</t>
  </si>
  <si>
    <t>VCm-D - Dẹt 2x1,5 mm²</t>
  </si>
  <si>
    <t>VCm-D - Dẹt 2x1,0 mm²</t>
  </si>
  <si>
    <t>VCm-D - Dẹt 2x0,75 mm²</t>
  </si>
  <si>
    <t xml:space="preserve"> DÂY SÚP RÃNH</t>
  </si>
  <si>
    <t xml:space="preserve">DÂY ÔVAN 2 RUỘT MỀM </t>
  </si>
  <si>
    <t>DÂY ĐIỆN HẠ THẾ CU/PVC  - 1 RUỘT CỨNG</t>
  </si>
  <si>
    <t>DÂY ĐƠN MỀM ĐIỆN ÁP 450/750V</t>
  </si>
  <si>
    <t>CV 2 x 1.0</t>
  </si>
  <si>
    <t>CV 2 x 1.5</t>
  </si>
  <si>
    <t>CV 2 x 2.0</t>
  </si>
  <si>
    <t>CV 2 x 2.5</t>
  </si>
  <si>
    <t>DÂY TRÒN ĐẶC 4 RUỘT MỀM</t>
  </si>
  <si>
    <t>CVV 3x4+1x2.5</t>
  </si>
  <si>
    <t>CVV 3x6+1x4</t>
  </si>
  <si>
    <t xml:space="preserve"> CÁP ĐỒNG 1 RUỘT BỌC CÁCH ĐIỆN PVC (7 sợi, 19 sợi , 37 sợi)</t>
  </si>
  <si>
    <t>CÁP ĐỒNG 1 RUỘT BỌC CÁCH ĐIỆN XLPE, BỌC VỎ PVC</t>
  </si>
  <si>
    <t>CÁP ĐỒNG 4 RUỘT (1 RUỘT TRUNG TÍNH NHỎ HƠN) BỌC CÁCH ĐIỆN XLPE, BỌC VỎ PVC</t>
  </si>
  <si>
    <t>CÁP ĐỒNG 4 RUỘT BỌC CÁCH ĐIỆN XLPE, BỌC VỎ PVC</t>
  </si>
  <si>
    <t>CÁP ĐỒNG NGẦM 2 RUỘT BỌC CÁCH ĐIỆN XLPE, BỌC VỎ PVC</t>
  </si>
  <si>
    <t>CÁP ĐỒNG NGẦM 4 RUỘT (1 RUỘT TRUNG TÍNH NHỎ HƠN) BỌC CÁCH ĐIỆN XLPE, BỌC VỎ PVC</t>
  </si>
  <si>
    <t>CÁP ĐỒNG NGẦM 4 RUỘT BỌC CÁCH ĐIỆN XLPE, BỌC VỎ PVC</t>
  </si>
  <si>
    <t>CÁP NHÔM ĐƠN BỌC CÁCH ĐIỆN PVC ( NHÔM THÍ NGHIỆM )</t>
  </si>
  <si>
    <t>CÁP NHÔM VẶN XOẮN 2 RUỘT BỌC CÁCH ĐiỆN XLPE ( NHÔM THÍ NGHIỆM )</t>
  </si>
  <si>
    <t xml:space="preserve">CÁP NHÔM VẶN XOẮN 4 RUỘT BỌC CÁCH ĐIỆN XLPE ( NHÔM THÍ NGHIỆM ) </t>
  </si>
  <si>
    <t>CÁP NHÔM TRẦN LÕI THÉP BỌC MỠ</t>
  </si>
  <si>
    <t>(Địa chỉ: KCN Lai Xá, xã Kim Chung, huyện Hoài Đức, thành phố Hà Nội, Việt Nam)</t>
  </si>
  <si>
    <t>Công ty Cổ phần Công nghiệp INVICO</t>
  </si>
  <si>
    <t>(Địa chỉ: Cụm công nghiệp Trí Quả, xã Trí Quả, huyện Thuận Thành, Bắc Giang )</t>
  </si>
  <si>
    <t>Tủ</t>
  </si>
  <si>
    <t>Tủ điện tổng</t>
  </si>
  <si>
    <t>Thiết bị đóng cắt tự động</t>
  </si>
  <si>
    <t>Recloser 3 pha U27kV 630A  12,5kA/s và phụ kiện trọn bộ</t>
  </si>
  <si>
    <t>Recloser 3 pha E38  38kV 800A  16kA/s và phụ kiện trọn bộ</t>
  </si>
  <si>
    <t>Máy biến áp</t>
  </si>
  <si>
    <t>Máy biến áp cấp nguồn 1 pha 2 sứ 24kV, 22/0,22kV-100VA</t>
  </si>
  <si>
    <t>Máy biến áp cấp nguồn 1 pha 2 sứ 38,5kV, 35/0,22kV-100VA</t>
  </si>
  <si>
    <t>3.9</t>
  </si>
  <si>
    <r>
      <t xml:space="preserve">Công ty cổ phần Carbon Việt Nam </t>
    </r>
    <r>
      <rPr>
        <i/>
        <sz val="11"/>
        <rFont val="Times New Roman"/>
        <family val="1"/>
      </rPr>
      <t>(Lô B2, Cụm công nghiệp Nam Châu Sơn, Phủ Lý, Hà Nam)</t>
    </r>
  </si>
  <si>
    <r>
      <rPr>
        <b/>
        <sz val="11"/>
        <rFont val="Times New Roman"/>
        <family val="1"/>
      </rPr>
      <t>Carboncor Asphalt - CA 19</t>
    </r>
    <r>
      <rPr>
        <i/>
        <sz val="11"/>
        <rFont val="Times New Roman"/>
        <family val="1"/>
      </rPr>
      <t xml:space="preserve"> (Bê tông nhựa rỗng Carbon)</t>
    </r>
  </si>
  <si>
    <r>
      <t>Giá bán tại thành phố Lạng Sơn</t>
    </r>
    <r>
      <rPr>
        <i/>
        <sz val="11"/>
        <rFont val="Times New Roman"/>
        <family val="1"/>
      </rPr>
      <t xml:space="preserve"> (Đã bao gồm phụ kiện và chi phí vận chuyển đến chân công trình)</t>
    </r>
  </si>
  <si>
    <r>
      <t>Ghi chú:</t>
    </r>
    <r>
      <rPr>
        <sz val="11"/>
        <rFont val="Times New Roman"/>
        <family val="1"/>
      </rPr>
      <t xml:space="preserve"> Giá đá loại 2 giảm đi 50.000,0 đồng/m2 so với giá đá loại 1; Giá đá loại 3 giảm đi 100.000,0 đồng/m2 so với giá đá loại 1.</t>
    </r>
  </si>
  <si>
    <r>
      <t xml:space="preserve">Dây điện Trần Phú </t>
    </r>
    <r>
      <rPr>
        <sz val="11"/>
        <rFont val="Times New Roman"/>
        <family val="1"/>
      </rPr>
      <t>(Giá bán tại thành phố Lạng Sơn)</t>
    </r>
  </si>
  <si>
    <r>
      <t xml:space="preserve">Tiết diện </t>
    </r>
    <r>
      <rPr>
        <sz val="11"/>
        <rFont val="Calibri"/>
        <family val="2"/>
      </rPr>
      <t>≤</t>
    </r>
    <r>
      <rPr>
        <sz val="11"/>
        <rFont val="Times New Roman"/>
        <family val="1"/>
      </rPr>
      <t xml:space="preserve"> 50 (mm2)</t>
    </r>
  </si>
  <si>
    <r>
      <t xml:space="preserve">Tiết diện 50 </t>
    </r>
    <r>
      <rPr>
        <sz val="11"/>
        <rFont val="Calibri"/>
        <family val="2"/>
      </rPr>
      <t>≤</t>
    </r>
    <r>
      <rPr>
        <sz val="11"/>
        <rFont val="Times New Roman"/>
        <family val="1"/>
      </rPr>
      <t xml:space="preserve"> 95 (mm2)</t>
    </r>
  </si>
  <si>
    <r>
      <t xml:space="preserve">Tiết diện 95 </t>
    </r>
    <r>
      <rPr>
        <sz val="11"/>
        <rFont val="Calibri"/>
        <family val="2"/>
      </rPr>
      <t xml:space="preserve">≤ </t>
    </r>
    <r>
      <rPr>
        <sz val="11"/>
        <rFont val="Times New Roman"/>
        <family val="1"/>
      </rPr>
      <t>240 (mm2)</t>
    </r>
  </si>
  <si>
    <r>
      <t xml:space="preserve">Công ty TNHH dây và cáp điện Vạn Xuân </t>
    </r>
    <r>
      <rPr>
        <sz val="11"/>
        <rFont val="Times New Roman"/>
        <family val="1"/>
      </rPr>
      <t>(Giá bán tại chân công trình trên địa bàn tỉnh Lạng Sơn)</t>
    </r>
  </si>
  <si>
    <r>
      <t xml:space="preserve">Thiết bị điện SINO </t>
    </r>
    <r>
      <rPr>
        <sz val="11"/>
        <rFont val="Times New Roman"/>
        <family val="1"/>
      </rPr>
      <t>(Giá bán tại thành phố Lạng Sơn)</t>
    </r>
  </si>
  <si>
    <r>
      <t xml:space="preserve">Tủ điện tổng 75A - 03 lộ ra (03 ATM 50A)  - </t>
    </r>
    <r>
      <rPr>
        <i/>
        <sz val="11"/>
        <rFont val="Times New Roman"/>
        <family val="1"/>
      </rPr>
      <t>Tủ 2 cánh, kích thước (1,6x0,8x 0,55)m, vỏ tủ dày 1.5mm</t>
    </r>
  </si>
  <si>
    <r>
      <t xml:space="preserve">Tủ điện tổng 100A - 03 lộ ra (01 ATM 75A + 02 ATM 75A) - </t>
    </r>
    <r>
      <rPr>
        <i/>
        <sz val="11"/>
        <rFont val="Times New Roman"/>
        <family val="1"/>
      </rPr>
      <t>Tủ 2 cánh, kích thước (1,6x0,8x 0,55)m, vỏ tủ dày 1.5mm</t>
    </r>
  </si>
  <si>
    <r>
      <t xml:space="preserve">Tủ điện tổng 150A - 03 lộ ra (01 ATM 100A + 02 ATM 75A) - </t>
    </r>
    <r>
      <rPr>
        <i/>
        <sz val="11"/>
        <rFont val="Times New Roman"/>
        <family val="1"/>
      </rPr>
      <t>Tủ 2 cánh, kích thước (1,6x0,8x 0,55)m, vỏ tủ dày 1.5mm</t>
    </r>
  </si>
  <si>
    <r>
      <t xml:space="preserve">Tủ điện tổng 250A - 03 lộ ra (03 ATM 100A ) - </t>
    </r>
    <r>
      <rPr>
        <i/>
        <sz val="11"/>
        <rFont val="Times New Roman"/>
        <family val="1"/>
      </rPr>
      <t>Tủ 2 cánh, kích thước (1,6x0,8x 0,55)m, vỏ tủ dày 1.5mm</t>
    </r>
  </si>
  <si>
    <r>
      <t xml:space="preserve">Tủ điện tổng 300A - 04 lộ ra (01 ATM 150A + 01 ATM 100A + 02 ATM 75A) - </t>
    </r>
    <r>
      <rPr>
        <i/>
        <sz val="11"/>
        <rFont val="Times New Roman"/>
        <family val="1"/>
      </rPr>
      <t>Tủ 2 cánh, kích thước (1,6x0,8x 0,55)m, vỏ tủ dày 1.5mm</t>
    </r>
  </si>
  <si>
    <r>
      <t xml:space="preserve">Tủ điện tổng 400A - 04 lộ ra (02 ATM 150A + 02 ATM 100A ) - </t>
    </r>
    <r>
      <rPr>
        <i/>
        <sz val="11"/>
        <rFont val="Times New Roman"/>
        <family val="1"/>
      </rPr>
      <t>Tủ 2 cánh, kích thước(1,6x0,8x 0,55)m, vỏ tủ dày 1.5mm</t>
    </r>
  </si>
  <si>
    <r>
      <t xml:space="preserve">Tủ điện tổng 500A - 05 lộ ra (03 ATM 150A + 02 ATM 100A ) - </t>
    </r>
    <r>
      <rPr>
        <i/>
        <sz val="11"/>
        <rFont val="Times New Roman"/>
        <family val="1"/>
      </rPr>
      <t>Tủ 2 cánh, kích thước (1,8 x 1,0 x,0,55)m, vỏ tủ dày 1.5mm</t>
    </r>
  </si>
  <si>
    <r>
      <t xml:space="preserve">Tủ điện tổng 600A - 05 lộ ra (03 ATM 200A + 02 ATM 100A ) - </t>
    </r>
    <r>
      <rPr>
        <i/>
        <sz val="11"/>
        <rFont val="Times New Roman"/>
        <family val="1"/>
      </rPr>
      <t>Tủ 2 cánh, kích thước (1,8x1,1x,0,6)m, vỏ tủ dày 1.5mm</t>
    </r>
  </si>
  <si>
    <r>
      <t xml:space="preserve">Tủ điện tổng 800A - 06 lộ ra (03 ATM 250A + 03 ATM 150A ) - </t>
    </r>
    <r>
      <rPr>
        <i/>
        <sz val="11"/>
        <rFont val="Times New Roman"/>
        <family val="1"/>
      </rPr>
      <t>Tủ 2 cánh, kích thước (1,8x1,1x,0,6)m, vỏ tủ dày 1.5mm</t>
    </r>
  </si>
  <si>
    <r>
      <t xml:space="preserve">Tủ điện tổng 1.000A - 06 lộ ra (03 ATM 300A + 03 ATM 150A ) - </t>
    </r>
    <r>
      <rPr>
        <i/>
        <sz val="11"/>
        <rFont val="Times New Roman"/>
        <family val="1"/>
      </rPr>
      <t>Tủ 2 cánh, kích thước (1,8x1,1x,0,6)m, vỏ tủ dày 1.5mm</t>
    </r>
  </si>
  <si>
    <r>
      <t xml:space="preserve">Tủ điện tổng 1.250A - 06 lộ ra (03 ATM 400A + 03 ATM 150A ) - </t>
    </r>
    <r>
      <rPr>
        <i/>
        <sz val="11"/>
        <rFont val="Times New Roman"/>
        <family val="1"/>
      </rPr>
      <t>Tủ 2 cánh, kích thước (1,8x1,1x,0,6)m, vỏ tủ dày 1.5mm</t>
    </r>
  </si>
  <si>
    <r>
      <t xml:space="preserve">Tủ điện tổng 1.600A - 06 lộ ra (04 ATM 400A + 02 ATM 150A ) - </t>
    </r>
    <r>
      <rPr>
        <i/>
        <sz val="11"/>
        <rFont val="Times New Roman"/>
        <family val="1"/>
      </rPr>
      <t>Tủ 2 cánh, kích thước (1,8x1,1x,0,6)m, vỏ tủ dày 1.5mm</t>
    </r>
  </si>
  <si>
    <r>
      <t xml:space="preserve">Máy nước nóng năng lượng mặt trời Tân Á </t>
    </r>
    <r>
      <rPr>
        <i/>
        <sz val="11"/>
        <rFont val="Times New Roman"/>
        <family val="1"/>
      </rPr>
      <t>(KT: Dài x Rộng x Cao)</t>
    </r>
  </si>
  <si>
    <r>
      <t xml:space="preserve">Máy nước nóng năng lượng mặt trời Hướng Dương </t>
    </r>
    <r>
      <rPr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(KT: Dài x Rộng x Cao)</t>
    </r>
  </si>
  <si>
    <t>Ống cống BTCT D750/8cm</t>
  </si>
  <si>
    <t>Ống cống BTCT D1000/12cm</t>
  </si>
  <si>
    <t>Ống cống BTCT D1250/12cm</t>
  </si>
  <si>
    <t>Ống cống BTCT D1250/18cm</t>
  </si>
  <si>
    <t>Ống cống BTCT D1500/16cm</t>
  </si>
  <si>
    <t>Ống cống BTCT D1500/22cm</t>
  </si>
  <si>
    <t>Ống cống BTCT D2000/16cm</t>
  </si>
  <si>
    <t>Ống cống BTCT D2000/24cm</t>
  </si>
  <si>
    <t>Gạch bê tông không nung tại Km18, xã Mai Pha, TP. Lạng Sơn</t>
  </si>
  <si>
    <t>Gạch bê tông không nung tại thôn Nhị Hà, xã Sơn Hà, huyện Hữu Lũng</t>
  </si>
  <si>
    <t>7.8</t>
  </si>
  <si>
    <t>7.9</t>
  </si>
  <si>
    <t>Địa chỉ: Thôn Chi Lễ, xã Mỹ Thái, Huyện Lang Giang, tỉnh Bắc Giang</t>
  </si>
  <si>
    <t>Sơn nội Thất</t>
  </si>
  <si>
    <t>Sơn lót kiềm Nano</t>
  </si>
  <si>
    <t>Sơn lót siêu kháng kiềm ngoại thất nano</t>
  </si>
  <si>
    <t>Sơn trắng nân</t>
  </si>
  <si>
    <t>Sơn min cao cấp nano</t>
  </si>
  <si>
    <t>Sơn bóng ngọc trai nano</t>
  </si>
  <si>
    <t>Sơn lau chùi hiệu quả</t>
  </si>
  <si>
    <t>Sơn siêu bóng nano</t>
  </si>
  <si>
    <t>Sơn ngoại thất</t>
  </si>
  <si>
    <t>Sơn min nano</t>
  </si>
  <si>
    <t>Sơn bóng nano</t>
  </si>
  <si>
    <t>Sơn chống thấm phá xi măng</t>
  </si>
  <si>
    <t>Sơn chống thấm màu nano</t>
  </si>
  <si>
    <t>Sơn men sứ nano</t>
  </si>
  <si>
    <t>Sơn phủ bóng clear</t>
  </si>
  <si>
    <t>Sơn nhũ vàng</t>
  </si>
  <si>
    <t>lít</t>
  </si>
  <si>
    <t>Sơn lót chống kiềm cao cấp</t>
  </si>
  <si>
    <t>Sơn lót chống kiềm cao cấp NANO</t>
  </si>
  <si>
    <t>Sơn màu tiêu chuẩn - Sơn mịn cao cấp 5.1</t>
  </si>
  <si>
    <t>Sơn bóng mờ nội thất cao cấp 8.1</t>
  </si>
  <si>
    <t>Sơn bóng nội thất cao cấp 8.1</t>
  </si>
  <si>
    <t>Sơn mịn cao cấp 7.1</t>
  </si>
  <si>
    <t>Sơn bóng cao cấp 9.1</t>
  </si>
  <si>
    <t>Sơn bóng cao cấp NANO 9.1</t>
  </si>
  <si>
    <t>Sơn bóng bảo vệ không màu clear</t>
  </si>
  <si>
    <t>Sơn chống thấm</t>
  </si>
  <si>
    <t>Sơn chống thấm đa năng</t>
  </si>
  <si>
    <t>Sơn chống thấm co gian đa năng</t>
  </si>
  <si>
    <t>Sơn chống thấm màu ngoại thất cao cấp</t>
  </si>
  <si>
    <t>Sơn chống thấm sàn cao cấp</t>
  </si>
  <si>
    <t>Sơn phẩm bột bả</t>
  </si>
  <si>
    <t>Bột bả nội thất cao cấp</t>
  </si>
  <si>
    <t>Bột bả ngoại thất cao cấp</t>
  </si>
  <si>
    <t>Sơn mịn trắng</t>
  </si>
  <si>
    <t>Sơn mịn tráng + màu 3.1</t>
  </si>
  <si>
    <t>Sơn siêu trắng cao cấp</t>
  </si>
  <si>
    <t>Sơn siêu bóng nội thất cao cấp NANO 8.1</t>
  </si>
  <si>
    <r>
      <rPr>
        <b/>
        <sz val="11"/>
        <rFont val="Times New Roman"/>
        <family val="1"/>
      </rPr>
      <t>Sơn hãng ASSY nhật bản</t>
    </r>
    <r>
      <rPr>
        <sz val="11"/>
        <rFont val="Times New Roman"/>
        <family val="1"/>
      </rPr>
      <t xml:space="preserve"> (Công ty CP đầu tư hợp tác công nghệ JAPAN PAINT)</t>
    </r>
  </si>
  <si>
    <t>7.10</t>
  </si>
  <si>
    <t>VCmd-2x0.5-(2x16/0.2)</t>
  </si>
  <si>
    <t>VCmd-2x0.75-(2x24/0.2)</t>
  </si>
  <si>
    <t>VCmd-2x1-(2x32/0.2)</t>
  </si>
  <si>
    <t>VCmd-2x1,5-(2x30/0.25)</t>
  </si>
  <si>
    <t>VCmd-2x2,5-(2x50/0.25)</t>
  </si>
  <si>
    <t>CV-1.5 (7/0.52) -0,6/1 kV</t>
  </si>
  <si>
    <t>CV-2.5 (7/0.67)-0,6/1 kV</t>
  </si>
  <si>
    <t>CV-10 (7/1.35)-0,6/1 kV</t>
  </si>
  <si>
    <t>CV-50-0,6/1 kV</t>
  </si>
  <si>
    <t>CV-240-0,6/1 kV</t>
  </si>
  <si>
    <t>CV-300-0,6/1 kV</t>
  </si>
  <si>
    <t>Cáp điện lực hạ thế - 0.6/1kV-(ruột đồng)</t>
  </si>
  <si>
    <t>CVV-25 – 0,6/1 kV</t>
  </si>
  <si>
    <t>CVV-50– 0,6/1 kV</t>
  </si>
  <si>
    <t>CVV-95 – 0,6/1 kV</t>
  </si>
  <si>
    <t>CVV-150 – 0,6/1 kV</t>
  </si>
  <si>
    <t>CVV-1 (1x7/0.425)</t>
  </si>
  <si>
    <t xml:space="preserve">CVV-1.5 (1x7/0,52) </t>
  </si>
  <si>
    <t xml:space="preserve">CVV-6.0 (1x7/1.04) </t>
  </si>
  <si>
    <t>CVV-2x185</t>
  </si>
  <si>
    <t>CVV-4x16</t>
  </si>
  <si>
    <t>CVV-4x25</t>
  </si>
  <si>
    <t>CVV-4x50</t>
  </si>
  <si>
    <t xml:space="preserve">CVV-4x120 </t>
  </si>
  <si>
    <t>CVV-4x185</t>
  </si>
  <si>
    <t>CVV-3x16+1x10</t>
  </si>
  <si>
    <t>CVV-3x25+1x16</t>
  </si>
  <si>
    <t xml:space="preserve">CVV-3x95+1x50 </t>
  </si>
  <si>
    <t>CVV-3x120+1x70</t>
  </si>
  <si>
    <t>Cáp đồng trần ủ mềm ép chặt   ≥10mm2</t>
  </si>
  <si>
    <t>CF 10</t>
  </si>
  <si>
    <t>CF 16</t>
  </si>
  <si>
    <t>CF 25</t>
  </si>
  <si>
    <t>CF 35</t>
  </si>
  <si>
    <t>CF 50</t>
  </si>
  <si>
    <t>CF 70</t>
  </si>
  <si>
    <t>CF 95</t>
  </si>
  <si>
    <t>CV 1x16 (V-75)</t>
  </si>
  <si>
    <t>CV 1x25 (V-75)</t>
  </si>
  <si>
    <t>CV 1x35 (V-75)</t>
  </si>
  <si>
    <t>CV 1x50 (V-75)</t>
  </si>
  <si>
    <t>CV 1x70 (V-75)</t>
  </si>
  <si>
    <t>CV 1x95 (V-75)</t>
  </si>
  <si>
    <t>CV 1x120 (V-75)</t>
  </si>
  <si>
    <t>CV 1x150 (V-75)</t>
  </si>
  <si>
    <t>CV 1x185 (V-75)</t>
  </si>
  <si>
    <t>CV 1x240 (V-75)</t>
  </si>
  <si>
    <t>CXV 1x240</t>
  </si>
  <si>
    <t>CXV 1x300</t>
  </si>
  <si>
    <t>CXV 1x400</t>
  </si>
  <si>
    <t>CXV 2x6</t>
  </si>
  <si>
    <t>CXV 2x10</t>
  </si>
  <si>
    <t>CXV 2x16</t>
  </si>
  <si>
    <t>CXV 2x25</t>
  </si>
  <si>
    <t>CXV 3x10</t>
  </si>
  <si>
    <t>CXV 3x16</t>
  </si>
  <si>
    <t>CXV 3x25</t>
  </si>
  <si>
    <t>CXV 4x240</t>
  </si>
  <si>
    <t>MULLER 2x4</t>
  </si>
  <si>
    <t>MULLER 2x6</t>
  </si>
  <si>
    <t>MULLER 2x16</t>
  </si>
  <si>
    <t>DATA 1x120</t>
  </si>
  <si>
    <t>DATA 1x150</t>
  </si>
  <si>
    <t>DATA 1x185</t>
  </si>
  <si>
    <t>DATA 1x240</t>
  </si>
  <si>
    <t>DATA 1x300</t>
  </si>
  <si>
    <t>DATA 1x400</t>
  </si>
  <si>
    <t xml:space="preserve">VCSF 1x0.5 </t>
  </si>
  <si>
    <t xml:space="preserve">VCSF 1x0.75 </t>
  </si>
  <si>
    <t>VCSF 1x1.0</t>
  </si>
  <si>
    <t>VCSF 1x10.0</t>
  </si>
  <si>
    <t>CV 1x1.5 (V-75 )</t>
  </si>
  <si>
    <t>CV 1x2.5 (V-75 )</t>
  </si>
  <si>
    <t>CV 1x4.0 (V-75 )</t>
  </si>
  <si>
    <t>CV 1x6.0 (V-75 )</t>
  </si>
  <si>
    <t>CV 1x10 (V-75 )</t>
  </si>
  <si>
    <t>VCTFK 2x0.75</t>
  </si>
  <si>
    <t>VCTFK 2x1.0</t>
  </si>
  <si>
    <t>VCTF 2x0.75</t>
  </si>
  <si>
    <t>VCTF 2x1.0</t>
  </si>
  <si>
    <t>VCTF 2x2.5</t>
  </si>
  <si>
    <t>VCSH 1x2.5</t>
  </si>
  <si>
    <t>VCSH 1x4.0</t>
  </si>
  <si>
    <t>VCSH 1x6.0</t>
  </si>
  <si>
    <t>FRN-CXV 1x16</t>
  </si>
  <si>
    <t>FRN-CXV 1x25</t>
  </si>
  <si>
    <t>FRN-CXV 1x35</t>
  </si>
  <si>
    <t>FRN-CXV 1x50</t>
  </si>
  <si>
    <t>FRN-CXV 1x70</t>
  </si>
  <si>
    <t>FRN-CXV 1x95</t>
  </si>
  <si>
    <t>FRN-CXV 1x120</t>
  </si>
  <si>
    <t>FRN-CXV 2x1.5 (Đặc)</t>
  </si>
  <si>
    <t>FRN-CXV 2x2.5 (Đặc)</t>
  </si>
  <si>
    <t>FRN-CXV 2x4.0 (Đặc)</t>
  </si>
  <si>
    <t>FRN-CXV 2x6.0</t>
  </si>
  <si>
    <t>FRN-CXV 2x10</t>
  </si>
  <si>
    <t>FRN-CXV 4x4.0</t>
  </si>
  <si>
    <t>FRN-CXV 4x6.0</t>
  </si>
  <si>
    <t>FRN-CXV 4x10</t>
  </si>
  <si>
    <t>FRN-CXV 4x16</t>
  </si>
  <si>
    <t>FRN-CXV 4x25</t>
  </si>
  <si>
    <t>FRN-CXV 4x35</t>
  </si>
  <si>
    <t>FRN-CXV 4x50</t>
  </si>
  <si>
    <t>Trung thế đồng</t>
  </si>
  <si>
    <t>CXV/CTS-W 1x35 (24)kV</t>
  </si>
  <si>
    <t>CXV/CTS-W 1x50 (24)kV</t>
  </si>
  <si>
    <t>CXV/CTS-W 1x70 (24)kV</t>
  </si>
  <si>
    <t>CXV/CTS-W 1x95 (24)kV</t>
  </si>
  <si>
    <t>CXV/CTS-W 1x120 (24)kV</t>
  </si>
  <si>
    <t>CXV/CTS-W 1x150 (24)kV</t>
  </si>
  <si>
    <t>CXV/CTS-W 1x185 (24)kV</t>
  </si>
  <si>
    <t>CXV/CTS-W 1x240 (24)kV</t>
  </si>
  <si>
    <t>DATA/CTS-W 1x35 (24)kV</t>
  </si>
  <si>
    <t>DATA/CTS-W 1x50 (24)kV</t>
  </si>
  <si>
    <t>DATA/CTS-W 1x70 (24)kV</t>
  </si>
  <si>
    <t>DATA/CTS-W 1x95 (24)kV</t>
  </si>
  <si>
    <t>DATA/CTS-W 1x120 (24)kV</t>
  </si>
  <si>
    <t>DATA/CTS-W 1x150 (24)kV</t>
  </si>
  <si>
    <t>DATA/CTS-W 1x185 (24)kV</t>
  </si>
  <si>
    <t>DATA/CTS-W 1x240 (24)kV</t>
  </si>
  <si>
    <t>CXV/CTS-W 1x50 (40.5)kV</t>
  </si>
  <si>
    <t>CXV/CTS-W 1x70 (40.5)kV</t>
  </si>
  <si>
    <t>CXV/CTS-W 1x95 (40.5)kV</t>
  </si>
  <si>
    <t>CXV/CTS-W 1x120 (40.5)kV</t>
  </si>
  <si>
    <t>CXV/CTS-W 1x150 (40.5)kV</t>
  </si>
  <si>
    <t>CXV/CTS-W 1x185 (40.5)kV</t>
  </si>
  <si>
    <t>CXV/CTS-W 1x240 (40.5)kV</t>
  </si>
  <si>
    <t>CXV/CTS-W 1x300 (40.5)kV</t>
  </si>
  <si>
    <t>CXV/CTS-W 1x400 (40.5)kV</t>
  </si>
  <si>
    <t>CXV/CTS-W 1x500 (40.5)kV</t>
  </si>
  <si>
    <t>DATA/CTS-W 1x50 (40.5)kV</t>
  </si>
  <si>
    <t>DATA/CTS-W 1x70 (40.5)kV</t>
  </si>
  <si>
    <t>DATA/CTS-W 1x95 (40.5)kV</t>
  </si>
  <si>
    <t>DATA/CTS-W 1x120 (40.5)kV</t>
  </si>
  <si>
    <t>DATA/CTS-W 1x150 (40.5)kV</t>
  </si>
  <si>
    <t>DATA/CTS-W 1x185 (40.5)kV</t>
  </si>
  <si>
    <t>DATA/CTS-W 1x240 (40.5)kV</t>
  </si>
  <si>
    <t>DATA/CTS-W 1x300 (40.5)kV</t>
  </si>
  <si>
    <t>DATA/CTS-W 1x400 (40.5)kV</t>
  </si>
  <si>
    <t>DATA/CTS-W 1x500 (40.5)kV</t>
  </si>
  <si>
    <t>Cáp nhôm</t>
  </si>
  <si>
    <t>AV 1x95 (V-75)</t>
  </si>
  <si>
    <t>AV 1x120 (V-75)</t>
  </si>
  <si>
    <t>AV 1x150 (V-75)</t>
  </si>
  <si>
    <t>AV 1x185 (V-75)</t>
  </si>
  <si>
    <t>AV 1x240 (V-75)</t>
  </si>
  <si>
    <t>AV 1x300 (V-75)</t>
  </si>
  <si>
    <t>AV 1x400 (V-75)</t>
  </si>
  <si>
    <t>ADSTA 4x150</t>
  </si>
  <si>
    <t>ADSTA 4x185</t>
  </si>
  <si>
    <t>ADSTA 4x240</t>
  </si>
  <si>
    <t>ADSTA 4x300</t>
  </si>
  <si>
    <t>ABC 4x240</t>
  </si>
  <si>
    <t xml:space="preserve">Cáp nhôm trần lõi thép </t>
  </si>
  <si>
    <t>As 95/16</t>
  </si>
  <si>
    <t>As 120/27</t>
  </si>
  <si>
    <t>As 150/19</t>
  </si>
  <si>
    <t>As 150/24</t>
  </si>
  <si>
    <t>As 185/24</t>
  </si>
  <si>
    <t>As 185/29</t>
  </si>
  <si>
    <t>AsXV 35/6.2-2.5</t>
  </si>
  <si>
    <t>AsXV 50/8.0-2.5</t>
  </si>
  <si>
    <t>AsXV 70/11-2.5</t>
  </si>
  <si>
    <t>AsXV 95/16-2.5</t>
  </si>
  <si>
    <t>AsXV 120/19-2.5</t>
  </si>
  <si>
    <t>AsXV 120/27-2.5</t>
  </si>
  <si>
    <t>AsXV 150/19-2.5</t>
  </si>
  <si>
    <t>AsXV 150/24-2.5</t>
  </si>
  <si>
    <t>AsXV 150/34-2.5</t>
  </si>
  <si>
    <t>AsXV 185/24-2.5</t>
  </si>
  <si>
    <t>AsXV 185/29-2.5</t>
  </si>
  <si>
    <t>AsXV 185/43-2.5</t>
  </si>
  <si>
    <t>AsXV 240/32-2.5</t>
  </si>
  <si>
    <t>Cáp FE/AL/XLPE/PVC dùng cho điện áp đến 35kV</t>
  </si>
  <si>
    <t>AsXV 35/6.2-4.3</t>
  </si>
  <si>
    <t>AsXV 50/8.0-4.3</t>
  </si>
  <si>
    <t>AsXV 70/11-4.3</t>
  </si>
  <si>
    <t>AsXV 95/16-4.3</t>
  </si>
  <si>
    <t>AsXV 120/19-4.3</t>
  </si>
  <si>
    <t>AsXV 120/27-4.3</t>
  </si>
  <si>
    <t>AsXV 150/19-4.3</t>
  </si>
  <si>
    <t>AsXV 150/24-4.3</t>
  </si>
  <si>
    <t>AsXV 150/34-4.3</t>
  </si>
  <si>
    <t>AsXV 185/24-4.3</t>
  </si>
  <si>
    <t>AsXV 185/29-4.3</t>
  </si>
  <si>
    <t>AsXV 185/43-4.3</t>
  </si>
  <si>
    <t>AsXE/S 50/8.0-2.5</t>
  </si>
  <si>
    <t>AsXE/S 70/11-2.5</t>
  </si>
  <si>
    <t>AsXE/S 95/16-2.5</t>
  </si>
  <si>
    <t>AsXE/S 120/19-2.5</t>
  </si>
  <si>
    <t>AsXE/S 120/27-2.5</t>
  </si>
  <si>
    <t>AsXE/S 150/19-2.5</t>
  </si>
  <si>
    <t>AsXE/S 150/24-2.5</t>
  </si>
  <si>
    <t>AsXE/S 150/34-2.5</t>
  </si>
  <si>
    <t>AsXE/S 185/24-2.5</t>
  </si>
  <si>
    <t>AsXE/S 185/29-2.5</t>
  </si>
  <si>
    <t>AsXE/S 35/6.2-4.3</t>
  </si>
  <si>
    <t>AsXE/S 50/8.0-4.3</t>
  </si>
  <si>
    <t>AsXE/S 70/11-4.3</t>
  </si>
  <si>
    <t>AsXE/S 95/16-4.3</t>
  </si>
  <si>
    <t>AsXE/S 120/19-4.3</t>
  </si>
  <si>
    <t>AsXE/S 120/27-4.3</t>
  </si>
  <si>
    <t>AsXE/S 150/19-4.3</t>
  </si>
  <si>
    <t>AsXE/S 150/24-4.3</t>
  </si>
  <si>
    <t>AsXE/S 150/34-4.3</t>
  </si>
  <si>
    <t>AsXE/S 185/24-4.3</t>
  </si>
  <si>
    <t>Trung thế nhôm</t>
  </si>
  <si>
    <t>ADSTA/CTS-W 3x35 (24) kV</t>
  </si>
  <si>
    <t>ADSTA/CTS-W 3x50 (24) kV</t>
  </si>
  <si>
    <t>ADSTA/CTS-W 3x70 (24) kV</t>
  </si>
  <si>
    <t>ADSTA/CTS-W 3x95 (24) kV</t>
  </si>
  <si>
    <t>ADSTA/CTS-W 3x120 (24) kV</t>
  </si>
  <si>
    <t>ADSTA/CTS-W 3x150 (24) kV</t>
  </si>
  <si>
    <t>ADSTA/CTS-W 3x185 (24) kV</t>
  </si>
  <si>
    <t>ADSTA/CTS-W 3x240 (24) kV</t>
  </si>
  <si>
    <t>ADSTA/CTS-W 3x300 (24) kV</t>
  </si>
  <si>
    <t>ADSTA/CTS-W 3x400 (24) kV</t>
  </si>
  <si>
    <t>ADATA/CTS-W 1x50 (40.5) kV</t>
  </si>
  <si>
    <t>ADATA/CTS-W 1x70 (40.5) kV</t>
  </si>
  <si>
    <t>ADATA/CTS-W 1x95 (40.5) kV</t>
  </si>
  <si>
    <t>ADATA/CTS-W 1x120 (40.5) kV</t>
  </si>
  <si>
    <t>ADATA/CTS-W 1x150 (40.5) kV</t>
  </si>
  <si>
    <t>ADATA/CTS-W 1x185 (40.5) kV</t>
  </si>
  <si>
    <t>ADATA/CTS-W 1x240 (40.5) kV</t>
  </si>
  <si>
    <t>ADATA/CTS-W 1x300 (40.5) kV</t>
  </si>
  <si>
    <t>ADATA/CTS-W 1x400 (40.5) kV</t>
  </si>
  <si>
    <t>ADATA/CTS-W 1x500 (40.5) kV</t>
  </si>
  <si>
    <t>Cáp đồng bọc PVC 90 độ C</t>
  </si>
  <si>
    <t>Cáp đồng Cu/XLPE/PVC</t>
  </si>
  <si>
    <t>Cáp điện kế Muller  Cu/XLPE/PVC/DATA/PVC 2 x…</t>
  </si>
  <si>
    <t>Cáp đồng ngầm Cu/XLPE/PVC/DATA/PVC 1x…</t>
  </si>
  <si>
    <t xml:space="preserve">Cáp đồng ngầm Cu/XLPE/PVC/DSTA/PVC </t>
  </si>
  <si>
    <t>Điện áp  300/500 V dùng để lắp đặt bên trong</t>
  </si>
  <si>
    <t>Điện áp  450/750V dùng để lắp đặt  cố định</t>
  </si>
  <si>
    <t>Cáp đồng đơn bọc cách điện pvc 90 độ C</t>
  </si>
  <si>
    <t xml:space="preserve">Dây tròn  mềm đặc 2 ruột mềm Cu/PVC/PVC  </t>
  </si>
  <si>
    <t xml:space="preserve">Dây ovan  2 ruột mềm Cu/PVC/PVC 2x </t>
  </si>
  <si>
    <t>Cáp  Cu/Mica/XLPE/Fr-PVC 1 x</t>
  </si>
  <si>
    <t xml:space="preserve">Dây đơn cứng Cu/PVC 1x </t>
  </si>
  <si>
    <t>Cu/XLPE/CTS/PVC -W  1x Điện áp: 12/20(24)kV )</t>
  </si>
  <si>
    <t>Cu/XLPE/CTS/PVC/DATA/PVC -W  1x Điện áp: 12/20(24)kV )</t>
  </si>
  <si>
    <t>Cu/XLPE/CTS/PVC -W  1x Điện áp: 20/35(40.5)kV</t>
  </si>
  <si>
    <t>Cu/XLPE/CTS/PVC/DATA/PVC -W   1x    Điện áp:20/35(40.5)kV )</t>
  </si>
  <si>
    <t xml:space="preserve">Cáp nhôm đơn bọc cách điện PVC 90 độ C  </t>
  </si>
  <si>
    <t>Cáp nhôm ngầm AL/XLPE/PVC/DSTA/PVC 4X Điện áp 0.6/1 KV )</t>
  </si>
  <si>
    <t>Cáp nhôm vặn xoắn  AL/XLPE 2x  Điện áp 0.6/1 KV</t>
  </si>
  <si>
    <t xml:space="preserve">Cáp nhôm vặn xoắn  AL/XLPE 4x Điện áp 0.6/1 KV </t>
  </si>
  <si>
    <t>Cáp FE/AL/XLPE/PVC  điện áp đến 24kV, cách điện XLPE dày 2,5mm</t>
  </si>
  <si>
    <t>Cáp FE/AL/XLPE/HDPE  điện áp đến 35kV, cách điện XLPE dày 4.3mm</t>
  </si>
  <si>
    <t>AL/XLPE/CTS/PVC/DSTA/PVC  -W  3x  Điện áp: 12/20(24)kV )</t>
  </si>
  <si>
    <t>AL/XLPE/CTS/PVC/DATA/PVC -W  3x  Điện áp: 20/35(40.5)kV)</t>
  </si>
  <si>
    <r>
      <t xml:space="preserve">Sơn hãng LEVIS </t>
    </r>
    <r>
      <rPr>
        <sz val="11"/>
        <rFont val="Times New Roman"/>
        <family val="1"/>
      </rPr>
      <t>(Công ty CP tập đoàn Thành Thắng)</t>
    </r>
  </si>
  <si>
    <t>7.11</t>
  </si>
  <si>
    <r>
      <t xml:space="preserve">Sơn Fucolor </t>
    </r>
    <r>
      <rPr>
        <sz val="11"/>
        <rFont val="Times New Roman"/>
        <family val="1"/>
      </rPr>
      <t>(Công ty TNHH XD&amp;TM Xuân Lộc)</t>
    </r>
  </si>
  <si>
    <t>Địa chỉ: Khu 5, thị trấn An Châu, huyện Sơn Động, tỉnh Bắc Giang</t>
  </si>
  <si>
    <t xml:space="preserve">Sơn lót ngoại thất kháng kiềm, kháng muối </t>
  </si>
  <si>
    <t>Sơn lót nội thất chống kiềm</t>
  </si>
  <si>
    <t>Sơn lót chống kiềm nội, ngoại thất tiêu chuẩn</t>
  </si>
  <si>
    <t>Sơn lót nội, ngoại thất chống thấm, chống kiềm</t>
  </si>
  <si>
    <t xml:space="preserve">Sơn men sứ </t>
  </si>
  <si>
    <t>Sơn bóng ngọc trai</t>
  </si>
  <si>
    <t>Sơn bóng cao cấp</t>
  </si>
  <si>
    <t>Sơn che phủ hiệu quả</t>
  </si>
  <si>
    <t>Sơn men sứ</t>
  </si>
  <si>
    <t>Sơn mịn siêu trắng</t>
  </si>
  <si>
    <t>Sơn trần</t>
  </si>
  <si>
    <t>Bột bả chuyên dụng cho tường, thạch cao trong nhà</t>
  </si>
  <si>
    <t>Bột bả siêu trắng cao cấp ngoài trời</t>
  </si>
  <si>
    <t>Chống thấm cao cấp ngoài trời</t>
  </si>
  <si>
    <t>Chống thấm màu cao cấp ngoài trời</t>
  </si>
  <si>
    <t>5.3</t>
  </si>
  <si>
    <t>Công ty Cổ phần tập đoàn AUSDOOR</t>
  </si>
  <si>
    <t>Địa chỉ: Số 37 đường Lê văn Thiêm, phường Nhân Chính, quận Thanh Xuân, HN</t>
  </si>
  <si>
    <t>Vách kính</t>
  </si>
  <si>
    <t>Cửa sổ mở quay, mở hất 1 cánh</t>
  </si>
  <si>
    <t>Cửa sổ mở quay 2 cánh</t>
  </si>
  <si>
    <t>Cửa sổ mở lùa 2 cánh</t>
  </si>
  <si>
    <t>Cửa đi mở quay 1 cánh</t>
  </si>
  <si>
    <t>Cửa đi mở quay 2 cánh</t>
  </si>
  <si>
    <t>Cửa đi mở quay 4 cánh</t>
  </si>
  <si>
    <t>Cửa đi mở lùa 2 cánh</t>
  </si>
  <si>
    <t>Cửa đi mở lùa 4 cánh</t>
  </si>
  <si>
    <t>Cửa sổ gấp trượt 3 cánh</t>
  </si>
  <si>
    <t>Cửa đi gấp trượt 4 cánh</t>
  </si>
  <si>
    <t>Giá bổ sung với mầu vân gỗ</t>
  </si>
  <si>
    <t>Giá bổ sung khi dùng khung bao 11cm</t>
  </si>
  <si>
    <t>Giá bổ sung khi dùng kính dán an toàn 10,38mm</t>
  </si>
  <si>
    <t>Giá bổ sung khi dùng khung bao 10cm</t>
  </si>
  <si>
    <t>Giá bổ sung khi dùng kính dán an toàn 8,38mm</t>
  </si>
  <si>
    <t>Giá bổ sung khi dùng khóa đa điểm</t>
  </si>
  <si>
    <t>Vách kính hệ 55</t>
  </si>
  <si>
    <t>Cửa đi 2 cánh lùa 93</t>
  </si>
  <si>
    <t>Cửa sổ 2 cánh lùa 93</t>
  </si>
  <si>
    <t>Gía bổ sung với các mầu xám đá</t>
  </si>
  <si>
    <t>Gía bổ sung với các mầu xám đá, ghi ánh kim</t>
  </si>
  <si>
    <t>Vách mặt dựng liền cửa sổ 1 cánh mở hất (dấu đố cửa)</t>
  </si>
  <si>
    <t>Vách mặt dựng liền cửa sổ 1 cánh mở hất (lộ đố cửa)</t>
  </si>
  <si>
    <t>Giá bổ sung khi dùng kính an toán 10,38mm</t>
  </si>
  <si>
    <t>Giá đã bao gồm vận chuyển đến chân công trình</t>
  </si>
  <si>
    <t>Cửa 1 cánh</t>
  </si>
  <si>
    <t>Cửa 2 cánh</t>
  </si>
  <si>
    <t>Cửa 2 cánh liền vách (thanh nhôm vách dày 1,5mm)</t>
  </si>
  <si>
    <t>Giá bổ sung khi dùng kính hộp 21mm</t>
  </si>
  <si>
    <t>Giá bổ sung mầu xám đá</t>
  </si>
  <si>
    <t>Giá bổ sung mầu vân gỗ</t>
  </si>
  <si>
    <r>
      <t xml:space="preserve">Cửa nhôm sơn tĩnh điện (Topal Prima) - </t>
    </r>
    <r>
      <rPr>
        <i/>
        <sz val="11"/>
        <rFont val="Times New Roman"/>
        <family val="1"/>
      </rPr>
      <t>Mầu trắng, ghi, cà phê (Cửa đi: Khung (55x65,5)mm dày 2mm; Cửa sổ: Khung (55x48,5)mm dày 1,4mm; cửa lùa: Khung (58,2x48)mm dày 1,6mm. Gioăng EPDM và phụ kiện đồng bộ. Kính dán an toàn dày 8,38mm).</t>
    </r>
  </si>
  <si>
    <r>
      <t xml:space="preserve">Cửa nhôm sơn tĩnh điện (Topal Slima) - </t>
    </r>
    <r>
      <rPr>
        <i/>
        <sz val="11"/>
        <rFont val="Times New Roman"/>
        <family val="1"/>
      </rPr>
      <t>Mầu trắng, ghi, cà phê (Cửa đi, cửa sổ: Khung (47,5x52,2)mm dày 1,1mm; cửa lùa: Khung (47,5x87)mm dày 1,1mm. Gioăng EPDM và phụ kiện đồng bộ. Kính dán an toàn dày 6,38mm).</t>
    </r>
  </si>
  <si>
    <r>
      <t xml:space="preserve">Cửa nhôm sơn tĩnh điện (Topal XFAD) - </t>
    </r>
    <r>
      <rPr>
        <i/>
        <sz val="11"/>
        <rFont val="Times New Roman"/>
        <family val="1"/>
      </rPr>
      <t>Mầu trắng, ghi, cà phê (Cửa đi: Khung (54,8x66)mm dày 2mm; Cửa sổ: Khung (54,8x50)mm dày 1,4mm; cửa lùa: Khung (54,8x76)mm dày 1,4mm. Gioăng EPDM và phụ kiện đồng bộ. Kính dán an toàn dày 6,38mm).</t>
    </r>
  </si>
  <si>
    <r>
      <t xml:space="preserve">Cửa nhôm sơn tĩnh điện (Topal XFEC) - </t>
    </r>
    <r>
      <rPr>
        <i/>
        <sz val="11"/>
        <rFont val="Times New Roman"/>
        <family val="1"/>
      </rPr>
      <t>Mầu trắng, ghi, cà phê (Cửa đi: Khung (54,8x66)mm dày 1,2mm; Cửa sổ: Khung (54,8x50)mm dày 1,2mm; cửa lùa: Khung (54,8x76)mm dày 1,2mm. Gioăng EPDM và phụ kiện đồng bộ. Kính dán an toàn dày 6,38mm).</t>
    </r>
  </si>
  <si>
    <r>
      <t xml:space="preserve">Cửa nhôm sơn tĩnh điện (Topal mặt dựng) - </t>
    </r>
    <r>
      <rPr>
        <i/>
        <sz val="11"/>
        <rFont val="Times New Roman"/>
        <family val="1"/>
      </rPr>
      <t xml:space="preserve">Mầu trắng, ghi, cà phê, xám đá (Dày 2,5mm. Kính dán an toàn dày 8,38mm). </t>
    </r>
  </si>
  <si>
    <r>
      <t xml:space="preserve">Cửa nhôm sơn tĩnh điện (Topal thủy lực) - </t>
    </r>
    <r>
      <rPr>
        <i/>
        <sz val="11"/>
        <rFont val="Times New Roman"/>
        <family val="1"/>
      </rPr>
      <t xml:space="preserve">Mầu trắng, ghi, cà phê (Dày 2mm. Gioăng EPDM và phụ kiện đồng bộ. Kính hộp dày 19mm). </t>
    </r>
  </si>
  <si>
    <t xml:space="preserve">TÊN VÀ QUY CÁCH SẢN PHẨM </t>
  </si>
  <si>
    <t>TC KỸ THUẬT</t>
  </si>
  <si>
    <t>TCVN 9113:2012</t>
  </si>
  <si>
    <t>TCCS 02:2016/BTTL</t>
  </si>
  <si>
    <t>TCVN 5847:2016</t>
  </si>
  <si>
    <t>ASTM A53/A500</t>
  </si>
  <si>
    <t>Ống thép mạ kẽm nhúng nóng, độ dầy 1,6-1,9 mm, đường kính DN10 - DN32</t>
  </si>
  <si>
    <t>Ống thép mạ kẽm nhúng nóng, độ dầy &gt;2 mm, đường kính DN10 - DN32</t>
  </si>
  <si>
    <t>Ống thép mạ kẽm nhúng nóng, độ dầy 1,6-1,9 mm, đường kính DN40 - DN100</t>
  </si>
  <si>
    <t>Ống thép mạ kẽm nhúng nóng, độ dầy &gt;5,4 mm, đường kính DN40 - DN100</t>
  </si>
  <si>
    <t>Ống thép mạ kẽm nhúng nóng, độ dầy 2-5,4 mm, đường kính DN40 - DN100</t>
  </si>
  <si>
    <t>Ống tôn kẽm (tròn, vuông, hộp) độ dày 1-2,3mm, đường kính DN10 - DN200</t>
  </si>
  <si>
    <t>TCVN 6477:2011</t>
  </si>
  <si>
    <t>Ống cống tròn bê tông cốt thép thoát nước</t>
  </si>
  <si>
    <t>TCVN 9340:2012</t>
  </si>
  <si>
    <t>TCVN9205:2012</t>
  </si>
  <si>
    <t>Gạch bê tông không nung (tại xã Khu 7, tt Đình Lập, huyện Đình Lập)</t>
  </si>
  <si>
    <t>TCVN 6260:2009</t>
  </si>
  <si>
    <t>TCCS 09:2014/TCĐBVN</t>
  </si>
  <si>
    <t>tấn</t>
  </si>
  <si>
    <r>
      <t xml:space="preserve">Carboncor Asphalt - CA 19 </t>
    </r>
    <r>
      <rPr>
        <i/>
        <sz val="11"/>
        <rFont val="Times New Roman"/>
        <family val="1"/>
      </rPr>
      <t>(bê tông nhựa rỗng Carbon)</t>
    </r>
  </si>
  <si>
    <t xml:space="preserve">Carboncor Asphalt - CA 9.5 </t>
  </si>
  <si>
    <t>(Giá bán tại tp Lạng Sơn)</t>
  </si>
  <si>
    <t>TCVN 10321:2014</t>
  </si>
  <si>
    <t>ISO 9001:2015</t>
  </si>
  <si>
    <t>QCVN 16:2019/BXD, TCVN 9366-2:2012</t>
  </si>
  <si>
    <t>1.2</t>
  </si>
  <si>
    <t>Cột thép Bát giác, Tròn côn liền cần đơn, D130/58mm, H=6m tôn dày 3mm</t>
  </si>
  <si>
    <t>Cột thép Bát giác, Tròn côn liền cần đơn, D140/58mm, H=7m tôn dày 3mm</t>
  </si>
  <si>
    <t>Cột thép Bát giác, Tròn côn liền cần đơn, D150/58mm, H=8m tôn dày 3mm</t>
  </si>
  <si>
    <t>Cột thép Bát giác, Tròn côn liền cần đơn, D151/58mm, H=8m tôn dày 3,5mm</t>
  </si>
  <si>
    <t>Cột thép Bát giác, Tròn côn liền cần đơn, D161/58mm, H=9m tôn dày 3,5mm</t>
  </si>
  <si>
    <t>Cột thép Bát giác, Tròn côn liền cần đơn, D171/58mm, H=10m tôn dày 3,5mm</t>
  </si>
  <si>
    <t>Cột thép Bát giác, Tròn côn liền cần đơn, D182/58mm, H=10m tôn dày 4mm</t>
  </si>
  <si>
    <t>Cột thép Bát giác, Tròn côn liền cần đơn, D192/58mm, H=11m tôn dày 4mm</t>
  </si>
  <si>
    <t>ASTM A123</t>
  </si>
  <si>
    <t>Cột thép liền cần đơn mạ kẽm nhúng nóng</t>
  </si>
  <si>
    <t>Cột thép Bát giác, Tròn côn 6m D150/78-3mm</t>
  </si>
  <si>
    <t>Cột thép Bát giác, Tròn côn 7m D160/78-3mm</t>
  </si>
  <si>
    <t>Cột thép Bát giác, Tròn côn 8m D171/78-3,5mm</t>
  </si>
  <si>
    <t>Cột thép Bát giác, Tròn côn 9m D182/78-4mm</t>
  </si>
  <si>
    <t>Cột thép Bát giác, Tròn côn 10m D192/78-4mm</t>
  </si>
  <si>
    <t>Cột thép Bát giác, Tròn côn 11m D202/78-4mm</t>
  </si>
  <si>
    <t>Cột thép đầu ngọn D78 mạ kẽm nhúng nóng</t>
  </si>
  <si>
    <t>Cần đèn mạ kẽm nhúng nóng</t>
  </si>
  <si>
    <t xml:space="preserve"> Cần đèn CD-01 cao 2m, vươn 1,5m, dày 3mm</t>
  </si>
  <si>
    <t xml:space="preserve"> Cần đèn CK-01 cao 2m, vươn 1,5m, dày 3mm</t>
  </si>
  <si>
    <t xml:space="preserve"> Cần đèn CD-04 cao 2m, vươn 1,5m, dày 3mm</t>
  </si>
  <si>
    <t xml:space="preserve"> Cần đèn CK-04 cao 2m, vươn 1,5m, dày 3mm</t>
  </si>
  <si>
    <t xml:space="preserve"> Cần đèn CD-05 cao 2m, vươn 1,5m, dày 3mm</t>
  </si>
  <si>
    <t xml:space="preserve"> Cần đèn CK-05 cao 2m, vươn 1,5m, dày 3mm</t>
  </si>
  <si>
    <t xml:space="preserve"> Cần đèn CD-06 cao 2m, vươn 1,5m, dày 3mm</t>
  </si>
  <si>
    <t xml:space="preserve"> Cần đèn CK-06 cao 2m, vươn 1,5m, dày 3mm</t>
  </si>
  <si>
    <t xml:space="preserve"> Cột thép trên đế gang chưa có cần đèn</t>
  </si>
  <si>
    <t>Đế gang DP01 cao 1,38m thân cột thép cao 8m ngọn  D78-3.5</t>
  </si>
  <si>
    <t>Đế gang DP01 cao 1,38m thân cột thép cao 8m ngọn  D78-4.0</t>
  </si>
  <si>
    <t>Đế gang DP01 cao 1,38m thân cột thép cao 9m ngọn  D78-4.0</t>
  </si>
  <si>
    <t>Đế gang DP01 cao 1,38m thân cột thép cao 10m ngọn  D78-4.0</t>
  </si>
  <si>
    <t>Đế gang DP05 cao 1,58m thân cột thép cao 8m ngọn D78-3.5</t>
  </si>
  <si>
    <t>Đế gang DP05 cao 1,58m thân cột thép cao 8m ngọn D78-4.0</t>
  </si>
  <si>
    <t>Đế gang DP05 cao 1,58m thân cột thép cao 9m ngọn D78-4.0</t>
  </si>
  <si>
    <t>Đế gang DP05 cao 1,58m thân cột thép cao 10m ngọn D78-4.0</t>
  </si>
  <si>
    <t>BS 5135, AWS D1.1</t>
  </si>
  <si>
    <t xml:space="preserve"> Cột đa giác mạ kẽm nhúng nóng</t>
  </si>
  <si>
    <t xml:space="preserve"> Cột đa giác 14m-130-5mm</t>
  </si>
  <si>
    <t xml:space="preserve"> Cột đa giác 17m-150-5mm</t>
  </si>
  <si>
    <t xml:space="preserve"> Cột đa giác 20m-180-5mm</t>
  </si>
  <si>
    <t xml:space="preserve"> Lọng bắt pha không đèn 8 cạnh</t>
  </si>
  <si>
    <t>Cột đèn trang trí sân vườn</t>
  </si>
  <si>
    <t>Cột DC06 đế gang + thân gang/nhôm</t>
  </si>
  <si>
    <t>Cột DC07 đế gang + thân gang/nhôm</t>
  </si>
  <si>
    <t>Cột DC05-B đế gang + thân gang/nhôm</t>
  </si>
  <si>
    <t>Cột Pine đế gang + thân nhôm</t>
  </si>
  <si>
    <t>Cột NOUVO + thân nhôm</t>
  </si>
  <si>
    <t>Cột sư tử + thân gang/ nhôm</t>
  </si>
  <si>
    <t>Chùm tay cột đèn sân vườn</t>
  </si>
  <si>
    <t>Chùm CH02-4</t>
  </si>
  <si>
    <t>Chùm CH02-5</t>
  </si>
  <si>
    <t>Chùm CH04-4</t>
  </si>
  <si>
    <t>Chùm CH04-5</t>
  </si>
  <si>
    <t>Chùm CH06-4</t>
  </si>
  <si>
    <t>Chùm CH06-5</t>
  </si>
  <si>
    <t>Chùm CH08-4</t>
  </si>
  <si>
    <t>Chùm CH08-5</t>
  </si>
  <si>
    <t>Chùm CH09-1</t>
  </si>
  <si>
    <t>Chùm CH09-2</t>
  </si>
  <si>
    <t>Chùm CH11-2</t>
  </si>
  <si>
    <t>Chùm CH11-3</t>
  </si>
  <si>
    <t>Chùm CH11-4</t>
  </si>
  <si>
    <t>Chùm CH11-5</t>
  </si>
  <si>
    <t>Chùm CH12-4</t>
  </si>
  <si>
    <t>Cầu Đục PMMA D400 lắp led 12w</t>
  </si>
  <si>
    <t>Cầu trắng trong PMMA tán phản quang D400 lắp led 12w</t>
  </si>
  <si>
    <t>Cầu xọc PMMA D400 lắp led 12w</t>
  </si>
  <si>
    <t>Đèn tuylip lắp bóng led 20w</t>
  </si>
  <si>
    <t>Đèn Jupiter lắp led 18w</t>
  </si>
  <si>
    <t>Đèn nữ hoàng lắp led 30w</t>
  </si>
  <si>
    <t>Đèn Jebi lắp led 18w</t>
  </si>
  <si>
    <t>Đèn đường Led A-WIN MAX công suất 80W DIM 5 cấp</t>
  </si>
  <si>
    <t xml:space="preserve"> Bộ</t>
  </si>
  <si>
    <t>Đèn đường Led A-WIN MAX công suất 90W DIM 5 cấp</t>
  </si>
  <si>
    <t>Đèn đường Led A-WIN MAX công suất 100W DIM 5 cấp</t>
  </si>
  <si>
    <t>Đèn đường Led A-WIN MAX công suất 120W DIM 5 cấp</t>
  </si>
  <si>
    <t>Đèn đường Led A-WIN MAX công suất 150W DIM 5 cấp</t>
  </si>
  <si>
    <t>Đèn đường Led A-WIN MAX công suất 160W DIM 5 cấp</t>
  </si>
  <si>
    <t>Đèn đường Led A-WIN MAX công suất 180W DIM 5 cấp</t>
  </si>
  <si>
    <t>Đèn đường Led A-WIN MAX công suất 200W DIM 5 cấp</t>
  </si>
  <si>
    <t>Đèn đường Led A-WIN MAX công suất 220W DIM 5 cấp</t>
  </si>
  <si>
    <t>Đèn đường Led A-WIN MAX công suất 240W DIM 5 cấp</t>
  </si>
  <si>
    <t>Đèn đường Led A-WIN MINI công suất 40W DIM 5 cấp</t>
  </si>
  <si>
    <t>Đèn đường Led A-WIN MINI công suất 50 W DIM 5 cấp</t>
  </si>
  <si>
    <t>Đèn đường Led A-WIN MINI công suất 60W DIM 5 cấp</t>
  </si>
  <si>
    <t>Đèn đường Led A-WIN MINI công suất 70W DIM 5 cấp</t>
  </si>
  <si>
    <t>Đèn đường Led A-WIN MINI công suất 80W DIM 5 cấp</t>
  </si>
  <si>
    <t>Đèn đường Led A-WIN MINI công suất 90W DIM 5 cấp</t>
  </si>
  <si>
    <t>Đèn đường Led A-WIN MINI công suất 100W DIM 5 cấp</t>
  </si>
  <si>
    <t>Đèn đường Led HAPY 803 công suất 100w DIM 5 cấp</t>
  </si>
  <si>
    <t>Đèn đường Led HAPY 803 công suất 120w DIM 5 cấp</t>
  </si>
  <si>
    <t>Đèn đường Led HAPY 803 công suất 150w DIM 5 cấp</t>
  </si>
  <si>
    <t>Đèn đường Led HAPY 803 công suất 180w DIM 5 cấp</t>
  </si>
  <si>
    <t>Đèn đường Led HAPY 804 công suất 100w DIM 5 cấp</t>
  </si>
  <si>
    <t>Đèn đường Led HAPY 804 công suất 120w DIM 5 cấp</t>
  </si>
  <si>
    <t>Đèn đường Led HAPY 804 công suất 150w DIM 5 cấp</t>
  </si>
  <si>
    <t>Đèn đường Led HAPY 804 công suất 180w DIM 5 cấp</t>
  </si>
  <si>
    <t>Đèn đường Led HAPY 830 công suất 40w-50w DIM 5 cấp</t>
  </si>
  <si>
    <t>Đèn đường Led HAPY 830 công suất 60w-80w DIM 5 cấp</t>
  </si>
  <si>
    <t>Đèn đường Led HAPY 830 công suất 100w DIM 5 cấp</t>
  </si>
  <si>
    <t>Đèn đường Led HAPY 830 công suất 120w DIM 5 cấp</t>
  </si>
  <si>
    <t>Đèn đường Led HAPY 830 công suất 150w DIM 5 cấp</t>
  </si>
  <si>
    <t>Đèn LED tích hợp bộ thu phát thông minh W.LCU16LR</t>
  </si>
  <si>
    <t>Đèn Pha LED</t>
  </si>
  <si>
    <t>Đèn pha led ANDES công suất 200w DIM 5 cấp</t>
  </si>
  <si>
    <t>Đèn pha led ANDES công suất 250w DIM 5 cấp</t>
  </si>
  <si>
    <t>Đèn pha led ANDES công suất 300w DIM 5 cấp</t>
  </si>
  <si>
    <t>Đèn pha led ANDES công suất 400w DIM 5 cấp</t>
  </si>
  <si>
    <t>Đèn pha led ANDES công suất 500w DIM 5 cấp</t>
  </si>
  <si>
    <t>Đèn pha led ANDES công suất 600w DIM 5 cấp</t>
  </si>
  <si>
    <t>Đèn pha led ANDES công suất 700w DIM 5 cấp</t>
  </si>
  <si>
    <t>Đèn pha led ANDES công suất 800w DIM 5 cấp</t>
  </si>
  <si>
    <t>Đèn pha led ANDES công suất 900w DIM 5 cấp</t>
  </si>
  <si>
    <t>Đèn pha led ANDES công suất 1000w DIM 5 cấp</t>
  </si>
  <si>
    <t>Phụ kiện chiếu sáng</t>
  </si>
  <si>
    <t>Cọc tiếp địa V63x63x6x2500</t>
  </si>
  <si>
    <t>KM cột M16x340x340x500</t>
  </si>
  <si>
    <t>KM cột M16x260x260x500</t>
  </si>
  <si>
    <t>KM cột M16x240x240x525</t>
  </si>
  <si>
    <t>KM cột M24x300x300x675</t>
  </si>
  <si>
    <t>KM cột đa giác M24x1375x8T</t>
  </si>
  <si>
    <t>KM cột đa giác M30x1750x20T</t>
  </si>
  <si>
    <t xml:space="preserve">Đèn trang trí sân vườn, không bao gồm bóng </t>
  </si>
  <si>
    <t xml:space="preserve">Đèn LED đường phố </t>
  </si>
  <si>
    <t xml:space="preserve">Đèn đường Led A-WIN MAX công suất 260W, </t>
  </si>
  <si>
    <t>Đèn đường Led A-WIN MAX công suất 80W</t>
  </si>
  <si>
    <t>Đèn đường Led A-WIN MAX công suất 90W</t>
  </si>
  <si>
    <t>Đèn đường Led A-WIN MAX công suất 100W</t>
  </si>
  <si>
    <t>Đèn đường Led A-WIN MAX công suất 120W</t>
  </si>
  <si>
    <t>Đèn đường Led A-WIN MAX công suất 150W</t>
  </si>
  <si>
    <t>Đèn đường Led A-WIN MAX công suất 160W</t>
  </si>
  <si>
    <t>Đèn đường Led A-WIN MAX công suất 180W</t>
  </si>
  <si>
    <t>Đèn đường Led A-WIN MAX công suất 200W</t>
  </si>
  <si>
    <t>Đèn đường Led A-WIN MAX công suất 220W</t>
  </si>
  <si>
    <t>Đèn đường Led A-WIN MAX công suất 240W</t>
  </si>
  <si>
    <t>Đèn đường Led A-WIN MINI công suất 40W</t>
  </si>
  <si>
    <t>Đèn đường Led A-WIN MINI công suất 50W</t>
  </si>
  <si>
    <t>Đèn đường Led A-WIN MINI công suất 60W</t>
  </si>
  <si>
    <t>Đèn đường Led A-WIN MINI công suất 70W</t>
  </si>
  <si>
    <t>Đèn đường Led A-WIN MINI công suất 80W</t>
  </si>
  <si>
    <t>Đèn đường Led A-WIN MINI công suất 90W</t>
  </si>
  <si>
    <t>Đèn đường Led A-WIN MINI công suất 100W</t>
  </si>
  <si>
    <t>Tủ điện ĐK HTCS 1200x600x350 thiết bị ngoại 100A</t>
  </si>
  <si>
    <t>Tủ điện ĐK HTCS 1200x600x350 thiết bị ngoại 50A</t>
  </si>
  <si>
    <t>Tủ điện ĐK HTCS 1000x600x350 thiết bị ngoại 100A</t>
  </si>
  <si>
    <t>Tủ điện ĐK HTCS 1000x600x350 thiết bị ngoại 50A</t>
  </si>
  <si>
    <t xml:space="preserve"> ASTM A123</t>
  </si>
  <si>
    <t>BS 5649</t>
  </si>
  <si>
    <t xml:space="preserve"> TCVN 7722-2-3:2007/IEC 60598-1:2018</t>
  </si>
  <si>
    <t>TCVN 5828:1994</t>
  </si>
  <si>
    <t xml:space="preserve">Công ty Cổ phần WINCO Việt Nam </t>
  </si>
  <si>
    <t>(Địa chỉ: Sô 12, TT3, khu đô thị Văn Phú, Phú La, Hà Đôn, Hà Nội; giá bán tại TPLS)</t>
  </si>
  <si>
    <t>TCVN 7745:2007</t>
  </si>
  <si>
    <t>TCVN 6883 : 2001</t>
  </si>
  <si>
    <t>10.1</t>
  </si>
  <si>
    <t>Công ty Cổ phần tôn Đông Á</t>
  </si>
  <si>
    <t>Tôn lạnh màu 6 sóng -11 sóng</t>
  </si>
  <si>
    <t>Tôn 3 lớp Joiviet trên nền tôn lạnh màu 6 sóng -11 sóng</t>
  </si>
  <si>
    <t xml:space="preserve">TCVN 8053:2009 </t>
  </si>
  <si>
    <t>IEC 60227-3/60227-5</t>
  </si>
  <si>
    <t>IEC 60202-1/60228</t>
  </si>
  <si>
    <t>TCVN 6610-3</t>
  </si>
  <si>
    <t>TC AS/NZS 5000.1</t>
  </si>
  <si>
    <t>TCVN 6610-5</t>
  </si>
  <si>
    <t xml:space="preserve"> TCVN 5935-1</t>
  </si>
  <si>
    <t>TCVN 6610-4</t>
  </si>
  <si>
    <t>AS/NZS 5000.1</t>
  </si>
  <si>
    <t>TCVN 5064</t>
  </si>
  <si>
    <t>TCVN 6447/AS 3560</t>
  </si>
  <si>
    <t xml:space="preserve"> TCVN 7417-21</t>
  </si>
  <si>
    <t>TCVN 5935-1</t>
  </si>
  <si>
    <t>TCVN 5604:1994</t>
  </si>
  <si>
    <t xml:space="preserve"> AS/NZS 5000.1:2005</t>
  </si>
  <si>
    <t xml:space="preserve"> TCVN 6610-3 </t>
  </si>
  <si>
    <t>AS/NZS 5000.1: 2005</t>
  </si>
  <si>
    <t xml:space="preserve">TCVN 6610-3 </t>
  </si>
  <si>
    <t xml:space="preserve"> TCVN : 60502-1</t>
  </si>
  <si>
    <t xml:space="preserve">TCVN 5935- 2 </t>
  </si>
  <si>
    <t>AS/NZS 5000.1:2005</t>
  </si>
  <si>
    <t xml:space="preserve"> TCVN : 5935-1 </t>
  </si>
  <si>
    <t>TCVN : 6447</t>
  </si>
  <si>
    <t xml:space="preserve">TCVN : 6447  </t>
  </si>
  <si>
    <t xml:space="preserve"> TCVN 5935- 2  </t>
  </si>
  <si>
    <t>TCVN 5935(IEC 60502-1)</t>
  </si>
  <si>
    <t>TCVN 5064, TCVN 5935</t>
  </si>
  <si>
    <t>TCVN 6447( AS 3560), TCVN 6612( IEC 60228)</t>
  </si>
  <si>
    <t>TCVN 6447 (AS 3560), TCVN 6612( IEC 60228)</t>
  </si>
  <si>
    <t>TCVN 5064: 1994/SĐ:1995</t>
  </si>
  <si>
    <t>TCVN 8781:2011</t>
  </si>
  <si>
    <t>TCVN 7722-1:2009</t>
  </si>
  <si>
    <t xml:space="preserve"> TCVN 7722-2-3:2007</t>
  </si>
  <si>
    <t>BS 3505-3:19681/TCVN 8491-2:2011</t>
  </si>
  <si>
    <t>TCVN 6073:2005</t>
  </si>
  <si>
    <t>TCCS 01/2008/VNP</t>
  </si>
  <si>
    <t>TCVN 11822:2017/AS/NZS 4765:2007</t>
  </si>
  <si>
    <t>BS 3505, ISO 4422, ISO 1452, TCVN 6151, TCVN 8491</t>
  </si>
  <si>
    <t xml:space="preserve">Ống Nhựa BÌNH MINH </t>
  </si>
  <si>
    <t>(Giá chưa có chi phí vận chuyển đến chân công trình)</t>
  </si>
  <si>
    <t xml:space="preserve">Xi măng Vicem Hạ Long </t>
  </si>
  <si>
    <t>Tiêu chuẩn kỹ thuật</t>
  </si>
  <si>
    <t xml:space="preserve"> TCVN 6260:2009</t>
  </si>
  <si>
    <t xml:space="preserve"> TCVN 6260:2010</t>
  </si>
  <si>
    <t xml:space="preserve"> TCVN 2682:2009</t>
  </si>
  <si>
    <t>TCVN 2682:2009</t>
  </si>
  <si>
    <t>Xi măng PC 40 Hoàng Thạch</t>
  </si>
  <si>
    <r>
      <rPr>
        <b/>
        <i/>
        <u val="single"/>
        <sz val="13"/>
        <rFont val="Times New Roman"/>
        <family val="1"/>
      </rPr>
      <t xml:space="preserve">Ghi chú: </t>
    </r>
    <r>
      <rPr>
        <i/>
        <sz val="13"/>
        <rFont val="Times New Roman"/>
        <family val="1"/>
      </rPr>
      <t>Đơn giá đã bao gồm chi phí bốc xúc lên phương tiện vận chuyển của bên mua tại các mỏ</t>
    </r>
  </si>
  <si>
    <t>TCVN 8258:2009</t>
  </si>
  <si>
    <t>Sơn lót kháng kiềm trong nhà</t>
  </si>
  <si>
    <t>Sơn lót tường kháng kiềm ngoài trời</t>
  </si>
  <si>
    <t>Sơn mịn phủ trong nhà</t>
  </si>
  <si>
    <t>Sơn bóng siêu trawngsws trong nhà</t>
  </si>
  <si>
    <t>Sơn bóng mờ phủ nội thất trong nhà</t>
  </si>
  <si>
    <t>Sơn bóng nột thất cao cấp hoạt tính nano</t>
  </si>
  <si>
    <t>Sơn bóng ngoại thất cao cấp</t>
  </si>
  <si>
    <t>Sơn chống thấm pha xi măng</t>
  </si>
  <si>
    <t>Sơn siêu bóng ngoại thất hoạt tính nano</t>
  </si>
  <si>
    <t>Sơn chống thấm màu hoạt tính nano</t>
  </si>
  <si>
    <t>Sơn bóng clear cao cấp</t>
  </si>
  <si>
    <t>Sơn lót chống kiềm nội thất cao cấp nano</t>
  </si>
  <si>
    <t>Sơn lót chống kiềm ngoại thất cao cấp nano</t>
  </si>
  <si>
    <t>ISO 9001:2015/QCVN 16:2019/BXD</t>
  </si>
  <si>
    <r>
      <t>Ghi chú: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Giá khung, cửa gỗ đã bao gồm chi phí sản xuất, vận chuyển và lắp dựng tại công trình hoàn chỉnh, cả sơn bóng (chưa có khoá cửa)</t>
    </r>
  </si>
  <si>
    <r>
      <t xml:space="preserve">Sơn MantaBank </t>
    </r>
    <r>
      <rPr>
        <sz val="11"/>
        <rFont val="Times New Roman"/>
        <family val="1"/>
      </rPr>
      <t>(Công ty CP Sản xuất thương mại Matapaint)</t>
    </r>
  </si>
  <si>
    <t>Chi Lăng</t>
  </si>
  <si>
    <t>Mỏ đá Mai sai, xã Mai Sao</t>
  </si>
  <si>
    <t>QCVN 16:2019/BXD; TCVN 10321:2014</t>
  </si>
  <si>
    <t>1.3</t>
  </si>
  <si>
    <t>Công ty TNHH SX và TM Hải Bách</t>
  </si>
  <si>
    <t>Địa chỉ: KM 10, Quốc lộ 1A cũ, xã Tân Thành, huyện Cao Lộc</t>
  </si>
  <si>
    <t>H 6.5A 140 – 230 x 310 - 421</t>
  </si>
  <si>
    <t>H 6.5B 140 – 230  x 310 – 432</t>
  </si>
  <si>
    <t>H 6.5C 140 – 230  x  310 -435</t>
  </si>
  <si>
    <t>H 7.5A 140 – 230  x 340 - 565</t>
  </si>
  <si>
    <t>H 7.5B 140 – 230  x  340 - 576</t>
  </si>
  <si>
    <t>H 7.5C 140 – 230  x  340 - 580</t>
  </si>
  <si>
    <t>H 8.5A 140 – 230  x  370 – 660</t>
  </si>
  <si>
    <t>H 8.5B 140 – 230  x  370 – 672</t>
  </si>
  <si>
    <t>H 8.5C 140 – 230  x  370 - 421</t>
  </si>
  <si>
    <t>Cột điện bê tông cốt thép chữ  H</t>
  </si>
  <si>
    <t xml:space="preserve">Cột điện bê tông cốt thép Ly tâm </t>
  </si>
  <si>
    <t>PCI 7,5-160-3.0</t>
  </si>
  <si>
    <t>PCI 7,5-160-4.3</t>
  </si>
  <si>
    <t>PCI 7,5-160-5.4</t>
  </si>
  <si>
    <t>PCI 7,5-190-4.3</t>
  </si>
  <si>
    <t>PCI 7,5-190-6.0</t>
  </si>
  <si>
    <t>PCI 8,5-160-3.0</t>
  </si>
  <si>
    <t>PCI 8,5-160-4.3</t>
  </si>
  <si>
    <t>PCI 8,5-190-3.0</t>
  </si>
  <si>
    <t>PCI 8,5-190-4.3</t>
  </si>
  <si>
    <t>PCI 8,5-190-5.0</t>
  </si>
  <si>
    <t>PCI 10-190-3.5</t>
  </si>
  <si>
    <t>PCI 10-190-4.3</t>
  </si>
  <si>
    <t>PCI 10-190-5.0</t>
  </si>
  <si>
    <t>PCI 12-190-4.3</t>
  </si>
  <si>
    <t>PCI 12-190-5.4</t>
  </si>
  <si>
    <t>PCI 12-190-7.2</t>
  </si>
  <si>
    <t>PCI 12-190-9.0</t>
  </si>
  <si>
    <t>PCI 12-190-10.0</t>
  </si>
  <si>
    <t>PCI 14-190-8.5</t>
  </si>
  <si>
    <t>PCI 14-190-9.2</t>
  </si>
  <si>
    <t>PCI 14-190-11.0</t>
  </si>
  <si>
    <t>PCI 14-190-13.0</t>
  </si>
  <si>
    <t>PCI -16-190-9.2</t>
  </si>
  <si>
    <t>PCI -16-190-11.0</t>
  </si>
  <si>
    <t>PCI -16-190-13.0</t>
  </si>
  <si>
    <t>PCI 18-190-9.2</t>
  </si>
  <si>
    <t>PCI 18-190-11.0</t>
  </si>
  <si>
    <t>PCI 18-190-12.0</t>
  </si>
  <si>
    <t>PCI 18-190-13.0</t>
  </si>
  <si>
    <t>PCI 20-190-9.2</t>
  </si>
  <si>
    <t>PCI 20-190-11.0</t>
  </si>
  <si>
    <t>PCI 20-190-13.0</t>
  </si>
  <si>
    <t>PCI 20-190- 14.0</t>
  </si>
  <si>
    <t>PCI 22-190-9.2</t>
  </si>
  <si>
    <t>PCI 22-190-11.0</t>
  </si>
  <si>
    <t>PCI 22-190-13.0</t>
  </si>
  <si>
    <t>PCI 22-190-14.0</t>
  </si>
  <si>
    <t>2.1</t>
  </si>
  <si>
    <t>Công ty cổ phần Ganh thép Nghi Sơn</t>
  </si>
  <si>
    <t>(Đc:Phường Hải Thượng, thị xã Nghi Sơn, tỉnh Thanh Hóa; Giá bán đến chân công trình)</t>
  </si>
  <si>
    <t>Thép cuộn</t>
  </si>
  <si>
    <t>6mm -CB24OT</t>
  </si>
  <si>
    <t>8mm -CB24OT</t>
  </si>
  <si>
    <t>8mm -CB300V</t>
  </si>
  <si>
    <t>Thép thanh vằn</t>
  </si>
  <si>
    <t>10mm -GR40</t>
  </si>
  <si>
    <t>12mm - CB300V</t>
  </si>
  <si>
    <t>14-20mm - CB300V/GR40</t>
  </si>
  <si>
    <t>10mm  -CB400V/CB500</t>
  </si>
  <si>
    <t>12mm - CB400V/CB500</t>
  </si>
  <si>
    <t>14-32mm - CB400V/CB500</t>
  </si>
  <si>
    <t>TCVN 1651-1:2008</t>
  </si>
  <si>
    <t>TCVN 1651-1:2008; ASTM A615-20</t>
  </si>
  <si>
    <t>2.2</t>
  </si>
  <si>
    <t>Giá bán tại trung tâm thành phố Lạng Sơn, tính thêm 3.000 đồng/tấn đối với các địa điểm xa hơn</t>
  </si>
  <si>
    <t>Công ty TNHH MTV Xây dựng và TM Cửa Việt</t>
  </si>
  <si>
    <t>Địa chỉ: Số 04, phố Tinh Dầu, phường Vĩnh Trại, tp Lạng Sơn</t>
  </si>
  <si>
    <t>Phụ kiện đồng bộ</t>
  </si>
  <si>
    <t>- Cửa sổ 1 cánh mở quay (800x1400)mm</t>
  </si>
  <si>
    <t>- Cửa sổ 1 cánh mở hất (800x1400)mm</t>
  </si>
  <si>
    <t>- Cửa sổ 2 cánh mở quay (1200x1800)mm</t>
  </si>
  <si>
    <t>- Cửa sổ 2 cánh mở hất (1200x1800)mm</t>
  </si>
  <si>
    <t>- Cửa sổ 4 cánh mở quay (2400x1800)mm</t>
  </si>
  <si>
    <t>- Cửa sổ 4 cánh mở hất (2400x1800)mm</t>
  </si>
  <si>
    <t>Cửa sổ</t>
  </si>
  <si>
    <t>- Cửa đi 1 cánh mở quay (700x2000)mm</t>
  </si>
  <si>
    <t>- Cửa đi 1 cánh mở quay (800x2200)mm</t>
  </si>
  <si>
    <t>- Cửa đi 1 cánh mở quay (800x2700)mm</t>
  </si>
  <si>
    <t>- Cửa đi 1 cánh mở quay (900x2200)mm</t>
  </si>
  <si>
    <t>- Cửa đi 1 cánh mở quay (900x2700)mm</t>
  </si>
  <si>
    <t>QCVN 16:2019/BXD, TCVN ISO 9001:2015/ISO 9001:2015</t>
  </si>
  <si>
    <t>Cửa đi 1 cánh</t>
  </si>
  <si>
    <t>Cửa đi 2 cánh</t>
  </si>
  <si>
    <t>- Cửa đi 2 cánh mở quay (1200x2200)mm</t>
  </si>
  <si>
    <t>- Cửa đi 2 cánh mở quay (1200x2700)mm</t>
  </si>
  <si>
    <t>- Cửa đi 2 cánh mở quay (1300x2200)mm</t>
  </si>
  <si>
    <t>- Cửa đi 2 cánh mở quay (1300x2700)mm</t>
  </si>
  <si>
    <t>- Cửa đi 2 cánh mở quay (1600x2200)mm</t>
  </si>
  <si>
    <t>- Cửa đi 2 cánh mở quay (1600x2700)mm</t>
  </si>
  <si>
    <t>- Cửa đi 2 cánh mở trượt (1600x2200)mm</t>
  </si>
  <si>
    <t>- Cửa đi 2 cánh mở trượt (1600x2700)mm</t>
  </si>
  <si>
    <t>Cửa đi 4 cánh</t>
  </si>
  <si>
    <t>- Cửa đi 4 cánh mở quay (2400x2800)mm</t>
  </si>
  <si>
    <t>-Vách kính cố định</t>
  </si>
  <si>
    <t>-Vách kính mặt dựng mặt tiền</t>
  </si>
  <si>
    <t>Cửa nhôm cao cấp hệ Fravi Xingfa Sơn tĩnh điện màu ghi, trắng; nhôm dày 0,1mm, kính dày 5mm</t>
  </si>
  <si>
    <t>- Sử dụng kính đơn dày 6,38mm cộng thêm 180.000 đồng/m2</t>
  </si>
  <si>
    <t>- Sử dụng kính đơn dày 8mm cộng thêm 120.000 đồng/m2</t>
  </si>
  <si>
    <t>- Cửa nhôm có chia ô trên cánh công thêm 200.00 đồng/m2</t>
  </si>
  <si>
    <t>- Giá bán tại thành phố Lạng Sơn đã bao gồm chi phí vận chuyển đến chân công trình</t>
  </si>
  <si>
    <t>TCCS 01:2016/HB</t>
  </si>
  <si>
    <t>7.12</t>
  </si>
  <si>
    <r>
      <t xml:space="preserve">Sơn LIONS </t>
    </r>
    <r>
      <rPr>
        <sz val="11"/>
        <rFont val="Times New Roman"/>
        <family val="1"/>
      </rPr>
      <t>(Công ty Cổ phần Lions VN)</t>
    </r>
  </si>
  <si>
    <t>(Địa chỉ: KCN Cái Lân, Giếng Đáy, Hạ Long, Quảng Ninh)</t>
  </si>
  <si>
    <t>Sơn nội thất</t>
  </si>
  <si>
    <t>TCVN 7329:2014</t>
  </si>
  <si>
    <t>TCVN 8652:2012</t>
  </si>
  <si>
    <t>QCVN 16:2019/BXD</t>
  </si>
  <si>
    <t>- Sơn phủ mịn nội thất</t>
  </si>
  <si>
    <t>- Sơn phủ mịn nội thất cao cấp</t>
  </si>
  <si>
    <t>- Sơn siêu trắng nội thất cao cấp</t>
  </si>
  <si>
    <t>Lon 5kg</t>
  </si>
  <si>
    <t>Thùng 22kg</t>
  </si>
  <si>
    <t>Lon 4,7kg</t>
  </si>
  <si>
    <t>Thùng 19kg</t>
  </si>
  <si>
    <t>Lon 1kg</t>
  </si>
  <si>
    <t>- Sơn phủ bóng mờ nội thất cao cấp</t>
  </si>
  <si>
    <t>- Sơn phủ bóng nội thất cao cấp</t>
  </si>
  <si>
    <t>- Sơn lót kháng kiềm nội thất cao cấp</t>
  </si>
  <si>
    <t>- Bột bả nội thất cao cấp (bao 40kg)</t>
  </si>
  <si>
    <t>- Bột bả thạch cao (bao 40kg)</t>
  </si>
  <si>
    <t>- Sơn phủ mịn ngoại thất</t>
  </si>
  <si>
    <t>- Sơn phủ mịn ngoại thất cao cấp</t>
  </si>
  <si>
    <t>- Sơn phủ bóng mờ ngoại thất cao cấp</t>
  </si>
  <si>
    <t>- Sơn phủ bóng ngoại thất cao cấp</t>
  </si>
  <si>
    <t>- Sơn lót kháng kiềm ngoại thất cao cấp</t>
  </si>
  <si>
    <t>- Sơn lót kháng kiềm nano ngoại thất cao cấp</t>
  </si>
  <si>
    <t>- Sơn chống thấm đa năng cao cấp</t>
  </si>
  <si>
    <t>Thùng 21kg</t>
  </si>
  <si>
    <t>Thùng 4,7kg</t>
  </si>
  <si>
    <t>Bột bả ngoại thất cao cấp (bao 40kg)</t>
  </si>
  <si>
    <t>7.13</t>
  </si>
  <si>
    <t>Sơn Fancol (Công ty Cổ phần FALCON Coatings Việt Nam)</t>
  </si>
  <si>
    <t>(địa chỉ: 67 Tô Ngọc Vân, quận Tây Hồ, Hà Nội)</t>
  </si>
  <si>
    <t>Sơn lót</t>
  </si>
  <si>
    <t>TCVN 90652012</t>
  </si>
  <si>
    <t>TCVN 7239:2014</t>
  </si>
  <si>
    <t>- Sơn lót chống kiềm ngoại thất - 18 Kg/thùng</t>
  </si>
  <si>
    <t>- Sơn lót chống kiềm nội thất  -  19 Kg/thùng</t>
  </si>
  <si>
    <t>- Sơn lót đa năng nội và ngoại thất  - 20 Kg/thùng</t>
  </si>
  <si>
    <t>- Sơn không lót   - 20 Kg/thùng</t>
  </si>
  <si>
    <t>- Sơn siêu bóng  - 5,1kg/lon</t>
  </si>
  <si>
    <t>- Sơn bóng ngọc trai - 20,4 Kg/thùng</t>
  </si>
  <si>
    <t>- Sơn mịn - 24 Kg/thùng</t>
  </si>
  <si>
    <t>- Sơn siêu trắng, sáng - 23,5 Kg/thùng</t>
  </si>
  <si>
    <t>- Sơn lau chùi hiệu quả - 23,6 Kg/thùng</t>
  </si>
  <si>
    <t>- Bột bả ngoại thất - 40kg/bao</t>
  </si>
  <si>
    <t>- Bột bả ngoại thất  - 40kg/bao</t>
  </si>
  <si>
    <t>- Bột bả nội và ngoại thất  - 40kg/bao</t>
  </si>
  <si>
    <t>- Sơn chống thấm pha xi măng - 20kg/thùng</t>
  </si>
  <si>
    <t>- Sơn chống thấm polyme - 20kg/thùng</t>
  </si>
  <si>
    <t>- Sơn chống thấm pha mầu - 20kg/thùng</t>
  </si>
  <si>
    <t>- Sơn mịn - 24 kg/thùng</t>
  </si>
  <si>
    <t>- Sơn bóng mờ  - 23,2 kg/thùng</t>
  </si>
  <si>
    <t>- Sơn bóng ngọc trai  - 20,4 kg/thùng</t>
  </si>
  <si>
    <t>- Sơn phủ men sứ  - 18 kg/thùng</t>
  </si>
  <si>
    <t>- PCB 30</t>
  </si>
  <si>
    <t>- PCB 40</t>
  </si>
  <si>
    <t xml:space="preserve">Xi măng Đồng Bành </t>
  </si>
  <si>
    <t>Xi măng  La Hiên - Thái Nguyên</t>
  </si>
  <si>
    <t>Xi măng trắng Hải Phòng</t>
  </si>
  <si>
    <t>Cát tự nhiên (bắc giang)</t>
  </si>
  <si>
    <t xml:space="preserve">Cát mịn M1 = 0,7-1,4 </t>
  </si>
  <si>
    <t>Cát mịn Ml = 1,5-2</t>
  </si>
  <si>
    <t xml:space="preserve">Cát vàng Ml &gt; 2 </t>
  </si>
  <si>
    <t>Thép xây dựng các loại</t>
  </si>
  <si>
    <t xml:space="preserve">Thép góc </t>
  </si>
  <si>
    <t>L50-75 CT3 L=6m; 9m; 12m</t>
  </si>
  <si>
    <t>TCVN 1651-1: 2008, TCVN 1651-2:2018</t>
  </si>
  <si>
    <t>L80-100 CT3 L=6m; 9m; 12m</t>
  </si>
  <si>
    <t>L120-130 CT3 L=6m; 9m; 12m</t>
  </si>
  <si>
    <t>L80-100 SS540 L=6m; 9m; 12m</t>
  </si>
  <si>
    <t>L120-130 CT3 SS540 L=6m; 9m; 12m</t>
  </si>
  <si>
    <r>
      <t xml:space="preserve">L50-130, độ dài 3m  </t>
    </r>
    <r>
      <rPr>
        <sz val="10"/>
        <rFont val="Arial"/>
        <family val="2"/>
      </rPr>
      <t xml:space="preserve">≤ </t>
    </r>
    <r>
      <rPr>
        <sz val="10"/>
        <rFont val="Times New Roman"/>
        <family val="1"/>
      </rPr>
      <t>L &lt; 4m</t>
    </r>
  </si>
  <si>
    <r>
      <t xml:space="preserve">L50-130, độ dài 2m  </t>
    </r>
    <r>
      <rPr>
        <sz val="10"/>
        <rFont val="Arial"/>
        <family val="2"/>
      </rPr>
      <t xml:space="preserve">≤ </t>
    </r>
    <r>
      <rPr>
        <sz val="10"/>
        <rFont val="Times New Roman"/>
        <family val="1"/>
      </rPr>
      <t>L &lt; 3m</t>
    </r>
  </si>
  <si>
    <r>
      <t xml:space="preserve">L50-130, độ dài 0,5m </t>
    </r>
    <r>
      <rPr>
        <sz val="10"/>
        <rFont val="Arial"/>
        <family val="2"/>
      </rPr>
      <t xml:space="preserve">≤ </t>
    </r>
    <r>
      <rPr>
        <sz val="10"/>
        <rFont val="Times New Roman"/>
        <family val="1"/>
      </rPr>
      <t>L &lt; 2m</t>
    </r>
  </si>
  <si>
    <t>Thép tròn Công ty Cổ phần Gang thép Thái Nguyên</t>
  </si>
  <si>
    <t>Thép cuộn:</t>
  </si>
  <si>
    <t>Thép trơn CT3, CB240-T D6+D8</t>
  </si>
  <si>
    <t>Thép vằn SD295A, CB300-V, D8</t>
  </si>
  <si>
    <t>Thép vằn CT5, SD295A, CB300-V, D10</t>
  </si>
  <si>
    <t>Thép tròn trơn:</t>
  </si>
  <si>
    <t xml:space="preserve"> Thép CT3, CB240-T, D10 ; L = 8,6m</t>
  </si>
  <si>
    <t xml:space="preserve"> Thép CT3, CB240-T, D12 ; L = 8,6m</t>
  </si>
  <si>
    <t xml:space="preserve"> Thép CT3, CB240-T, D14-D40 ; L = 8,6m</t>
  </si>
  <si>
    <t>Thép cây vằn:</t>
  </si>
  <si>
    <t>Thép vằn CT5, SD295A, CB300-V, D10; L =11,7m</t>
  </si>
  <si>
    <t>Thép vằn CT5, SD295A, CB300-V, D12; L =11,7m</t>
  </si>
  <si>
    <t>Thép vằn CT5, SD295A, CB300-V, D14 -40; L =11,7m</t>
  </si>
  <si>
    <t>Thép vằn SD390, SD490, CB400-V, CB500-V, D10; L = 11,7m</t>
  </si>
  <si>
    <t>Thép vằn SD390, SD490, CB400-V, CB500-V, D12; L = 11,7m</t>
  </si>
  <si>
    <t>Thép vằn SD390, SD490, CB400-V, CB500-V, D12-D40; L = 11,7m</t>
  </si>
  <si>
    <t>Que hàn</t>
  </si>
  <si>
    <t>Đinh</t>
  </si>
  <si>
    <t>Thép buộc</t>
  </si>
  <si>
    <t>Thép vuông 12x12, 14x14,16x16</t>
  </si>
  <si>
    <t>Công ty TNHH Tư vấn đầu tư xây dựng An Khánh VQ</t>
  </si>
  <si>
    <t>Gạch bê tông không nung GAKVQ 01 (220x105x60)mm M70</t>
  </si>
  <si>
    <t>Gạch bê tông không nung GAKVQ 02 (220x105x60)mm M100</t>
  </si>
  <si>
    <t>Gạch GRANITE ốp, lát</t>
  </si>
  <si>
    <t>(Giá bán đến chân công trình)</t>
  </si>
  <si>
    <t>3030MNDA019 (300 x 300), loại I</t>
  </si>
  <si>
    <t>3060DAMT005 (300 x 600), loại I</t>
  </si>
  <si>
    <t>6060DAMT001 (600 x 600), loại I</t>
  </si>
  <si>
    <t>4160120 STONE 003(600 x 1.200), loại I</t>
  </si>
  <si>
    <t>8080ROME002 (1.000 x 1.000), loại I</t>
  </si>
  <si>
    <t>8080ROME002 (800 x 800), loại I</t>
  </si>
  <si>
    <t xml:space="preserve">BẢNG CÔNG BỐ GIÁ VLXD TẠI TRUNG TÂM CÁC HUYỆN VÀ THÀNH PHỐ THÁNG 9 NĂM 2022 </t>
  </si>
  <si>
    <t>3.11</t>
  </si>
  <si>
    <t>- PC 30 (bao)</t>
  </si>
  <si>
    <t>- PC 40 (bao)</t>
  </si>
  <si>
    <t>- PC 40 (Bao jumbo)</t>
  </si>
  <si>
    <t>- PC 50 (Bao jumbo)</t>
  </si>
  <si>
    <t>- PC 40 (rời)</t>
  </si>
  <si>
    <t>- PC 50 (rời)</t>
  </si>
  <si>
    <r>
      <t xml:space="preserve">BẢNG CÔNG BỐ GIÁ MỘT SỐ SẢN PHẨM VLXD BÁN TẠI NƠI SẢN XUẤT VÀ TẠI THÀNH PHỐ LẠNG SƠN </t>
    </r>
    <r>
      <rPr>
        <b/>
        <sz val="14"/>
        <color indexed="12"/>
        <rFont val="Times New Roman"/>
        <family val="1"/>
      </rPr>
      <t>THÁNG 11 NĂM 2022</t>
    </r>
  </si>
  <si>
    <t xml:space="preserve">(Kèm theo Công bố giá số      /CBGVLXD-SXD ngày      tháng 12 năm 2022 của Sở Xây dựng)  </t>
  </si>
  <si>
    <t>11.11</t>
  </si>
  <si>
    <t>Công ty Cổ phần điện tử chuyên dụng HANEL</t>
  </si>
  <si>
    <t>(giá bán đến chân công trình trên địa bàn tỉnh Lạng Sơn)</t>
  </si>
  <si>
    <t>Thiết bị điều khiển và giám sát từ trung tâm truyền thông GSM/4G (Model: SLC100-GSM/4G)</t>
  </si>
  <si>
    <t xml:space="preserve">Bộ điều khiển truyền thông (Model: ISEVER RF) </t>
  </si>
  <si>
    <t>Bộ điều khiển tiết giảm công suất cho đèn LED  (Model: NODE RF- NEMA 7)</t>
  </si>
  <si>
    <t>Bộ điều khiển tiết giảm công suất cho đèn pha LED  (Model: NODE RF)</t>
  </si>
  <si>
    <t>ISO/IEC27001:2013</t>
  </si>
  <si>
    <t>ISO/IEC27001:2014</t>
  </si>
  <si>
    <t>ISO/IEC27001:2015</t>
  </si>
  <si>
    <t>ISO/IEC27001:2016</t>
  </si>
  <si>
    <t>ISO/IEC27001:2017</t>
  </si>
  <si>
    <t>ISO/IEC27001:2018</t>
  </si>
  <si>
    <t>Tủ điện điều khiển và giám sát chiếu sáng trung tâm 100A đã lắp cơ cấu động lực (1200x600x350x1,5)mm sơn tĩnh điện màu ghi xám</t>
  </si>
  <si>
    <t>Tủ điện điều khiển và giám sát chiếu sáng trung tâm 150A đã lắp cơ cấu động lực (1200x600x350x1,5)mm sơn tĩnh điện màu ghi xám</t>
  </si>
  <si>
    <t>11.12</t>
  </si>
  <si>
    <t>Công ty TNHH thiết bị và chiếu sáng Miền Bắc</t>
  </si>
  <si>
    <t>Trụ sở: 48, Le Văn Lương, Nhân Chính, Thanh Xuân, Hà Nội</t>
  </si>
  <si>
    <t>Trụ sở: số 30, khu C, tổ dân phố Phũ Mỹ, Mỹ Đình 2, Nam Từ Liên, Hà Nội.</t>
  </si>
  <si>
    <t>Gạch lỗ GTTLS 012, quy cách (390x180x120) mm, Mac 8</t>
  </si>
  <si>
    <t>Gạch  đặc GTTLS 01, quy cách (220x105x60) mm, Mac 8</t>
  </si>
  <si>
    <t>Gạch  đặc GTTLS 03, quy cách (220x105x65)mm, Mac 8</t>
  </si>
  <si>
    <t>Đèn LED chiếu sáng</t>
  </si>
  <si>
    <t>Đèn Led EPSILON-100W, DALI</t>
  </si>
  <si>
    <t>TCVN 7722-1-2017, TCVN 7722-2-3-2007</t>
  </si>
  <si>
    <t>3.286.000</t>
  </si>
  <si>
    <t>Đèn Led IOTA-100W, DALI</t>
  </si>
  <si>
    <t>3.223.000</t>
  </si>
  <si>
    <t xml:space="preserve">Đèn Led IOTA-100W, DIM 5 cấp </t>
  </si>
  <si>
    <t>3.608.000</t>
  </si>
  <si>
    <t>Đèn Led IOTA-120W, DALI</t>
  </si>
  <si>
    <t>3.774.000</t>
  </si>
  <si>
    <t>Đèn Led IOTA-150W, DALI</t>
  </si>
  <si>
    <t>4.135.000</t>
  </si>
  <si>
    <t xml:space="preserve">Đèn Led IOTA-150W, DIM 5 cấp  </t>
  </si>
  <si>
    <t>4.721.000</t>
  </si>
  <si>
    <t xml:space="preserve">Đèn Led IOTA-180W, DIM 5 cấp  </t>
  </si>
  <si>
    <t>3.982.000</t>
  </si>
  <si>
    <t>Bộ đèn LED KAPPA-40W, DIM 5 cấp</t>
  </si>
  <si>
    <t>Bộ đèn LED KAPPA-50W, DIM 5 cấp</t>
  </si>
  <si>
    <t>1.015.000</t>
  </si>
  <si>
    <t>Bộ đèn LED MB-3135 50W NLMT</t>
  </si>
  <si>
    <t>1.518.000</t>
  </si>
  <si>
    <t>Bộ đèn LED KAPPA-75W, DIM 7 cấp</t>
  </si>
  <si>
    <t>1.540.000</t>
  </si>
  <si>
    <t>Bộ đèn LED KAPPA-90W, DIM 3 cấp</t>
  </si>
  <si>
    <t>1.595.000</t>
  </si>
  <si>
    <t>Bộ đèn LED KAPPA-99W, DIM 7 cấp</t>
  </si>
  <si>
    <t>1.628.000</t>
  </si>
  <si>
    <t>Bộ đèn LED MB-3140 60W NLMT</t>
  </si>
  <si>
    <t>1.641.000</t>
  </si>
  <si>
    <t>Bộ đèn LED KAPPA-100W, DIM 5 cấp</t>
  </si>
  <si>
    <t>4.345.000</t>
  </si>
  <si>
    <t>Bộ đèn LED MB-3340 80W NLMT</t>
  </si>
  <si>
    <t>2.936.000</t>
  </si>
  <si>
    <t>Bộ đèn LED KAPPA-120W, DIM 5 cấp</t>
  </si>
  <si>
    <t>4.510.000</t>
  </si>
  <si>
    <t>Bộ đèn LED KAPPA-125W, DIM 5 cấp</t>
  </si>
  <si>
    <t>4.595.000</t>
  </si>
  <si>
    <t>Bộ đèn LED KAPPA-150W, DALI</t>
  </si>
  <si>
    <t>4.639.000</t>
  </si>
  <si>
    <t>Bộ đèn LED KAPPA-150W, DIM 5 cấp</t>
  </si>
  <si>
    <t>2.239.000</t>
  </si>
  <si>
    <t xml:space="preserve">Bộ đèn LED KAPPA-160W, DIM 5 cấp </t>
  </si>
  <si>
    <t>6.260.000</t>
  </si>
  <si>
    <t xml:space="preserve">Bộ đèn LED KAPPA-200W, DIM 5 cấp </t>
  </si>
  <si>
    <t>7.859.000</t>
  </si>
  <si>
    <t>Bộ đèn LED LAMDA-100W, DIM 5 cấp</t>
  </si>
  <si>
    <t>5.043.000</t>
  </si>
  <si>
    <t>Bộ đèn LED MUY-100W, DALI</t>
  </si>
  <si>
    <t>Bộ đèn LED PI-50W, DIM 5 cấp</t>
  </si>
  <si>
    <t>1.817.200</t>
  </si>
  <si>
    <t>Bộ đèn LED MB-3118 30W NLMT</t>
  </si>
  <si>
    <t>1.980.000</t>
  </si>
  <si>
    <t>Bộ đèn LED PI-75W, DIM 5 cấp</t>
  </si>
  <si>
    <t>2.084.000</t>
  </si>
  <si>
    <t>Bộ đèn LED PI-90W, DIM 5 cấp</t>
  </si>
  <si>
    <t>2.121.000</t>
  </si>
  <si>
    <t xml:space="preserve">Bộ đèn LED PI-110W, DIM 5 cấp   </t>
  </si>
  <si>
    <t>2.177.000</t>
  </si>
  <si>
    <t xml:space="preserve">Bộ đèn LED PI-100W, DIM 5 cấp  </t>
  </si>
  <si>
    <t>2.585.000</t>
  </si>
  <si>
    <t>Bộ đèn LED MB-3240 100W NLMT</t>
  </si>
  <si>
    <t>2.664.000</t>
  </si>
  <si>
    <t>2.708.000</t>
  </si>
  <si>
    <t>Bộ đèn LED PI-120W, DALI</t>
  </si>
  <si>
    <t>2.774.000</t>
  </si>
  <si>
    <t xml:space="preserve">Bộ đèn LED PI-120W, DIM 5 cấp </t>
  </si>
  <si>
    <t>3.258.000</t>
  </si>
  <si>
    <t>Bộ đèn LED PI-150W, DALI</t>
  </si>
  <si>
    <t>3.235.000</t>
  </si>
  <si>
    <t xml:space="preserve">Bộ đèn LED PI-150W, DIM 5 cấp   </t>
  </si>
  <si>
    <t>3.721.000</t>
  </si>
  <si>
    <t xml:space="preserve">Bộ đèn LED PI-160W, DIM 5 cấp </t>
  </si>
  <si>
    <t>3.797.000</t>
  </si>
  <si>
    <t xml:space="preserve">Bộ đèn LED PI-180W, DIM 5 cấp </t>
  </si>
  <si>
    <t>3.872.000</t>
  </si>
  <si>
    <t xml:space="preserve">Bộ đèn LED PI-200W, DIM 5 cấp </t>
  </si>
  <si>
    <t>Bộ đèn LED PI-250W, DALI</t>
  </si>
  <si>
    <t xml:space="preserve">Bộ đèn LED PI-250W, DIM 5 cấp </t>
  </si>
  <si>
    <t>6.253.000</t>
  </si>
  <si>
    <t xml:space="preserve">Bộ đèn LED PHI-150W, DIM 5 cấp </t>
  </si>
  <si>
    <t>5.018.000</t>
  </si>
  <si>
    <t>Bộ đèn LED CHI-80W, DALI</t>
  </si>
  <si>
    <t>4.070.000</t>
  </si>
  <si>
    <t>Bộ đèn LED CHI-100W, DALI</t>
  </si>
  <si>
    <t>4.235.000</t>
  </si>
  <si>
    <t xml:space="preserve">Bộ đèn LED CHI-120W, DIM 5 cấp  </t>
  </si>
  <si>
    <t>7.050.000</t>
  </si>
  <si>
    <t xml:space="preserve">Bộ đèn LED CHI-150W, DIM 5 cấp </t>
  </si>
  <si>
    <t>7.881.200</t>
  </si>
  <si>
    <t>Bộ đèn LED CHI-180W, DIM 5 cấp</t>
  </si>
  <si>
    <t>8.280.000</t>
  </si>
  <si>
    <t>Bộ đèn LED UPSILON-150W, DIM 5 cấp</t>
  </si>
  <si>
    <t>5.990.000</t>
  </si>
  <si>
    <t>Bộ đèn PSI-150W, DIM 5 cấp</t>
  </si>
  <si>
    <t>6.190.000</t>
  </si>
  <si>
    <t>Đèn pha LED MB08 100W NLMT</t>
  </si>
  <si>
    <t>1.650.000</t>
  </si>
  <si>
    <t>Đèn pha LED MB05-200w</t>
  </si>
  <si>
    <t>2.297.000</t>
  </si>
  <si>
    <t>Đèn pha LED MB02-600w</t>
  </si>
  <si>
    <t>3.795.000</t>
  </si>
  <si>
    <t>Đèn pha LED MB03- 400w</t>
  </si>
  <si>
    <t>4.155.000</t>
  </si>
  <si>
    <t>Đèn pha LED MB02-500w</t>
  </si>
  <si>
    <t>5.995.000</t>
  </si>
  <si>
    <t>7.952.000</t>
  </si>
  <si>
    <t>Đèn pha LED MB04-800w</t>
  </si>
  <si>
    <t>14.167.800</t>
  </si>
  <si>
    <t>Đèn pha LED MB07-1000w</t>
  </si>
  <si>
    <t>16.667.800</t>
  </si>
  <si>
    <t>1.985.000</t>
  </si>
  <si>
    <t xml:space="preserve"> 2.480.000 </t>
  </si>
  <si>
    <t xml:space="preserve"> 9.860.000 </t>
  </si>
  <si>
    <t xml:space="preserve">12.850.000 </t>
  </si>
  <si>
    <t xml:space="preserve">Cột đèn sân vườn trang trí </t>
  </si>
  <si>
    <t>Cột trang trí SV35 thân thép D141 LED 40W-50W-100W cao 3,5m</t>
  </si>
  <si>
    <t>TCCS 
01:2018/CSMB, ISO 9001:2015</t>
  </si>
  <si>
    <t>5.115.000</t>
  </si>
  <si>
    <t>Cột trang trí SV35 thân thép D114 LED 40W-50W-100W cao 3,5m</t>
  </si>
  <si>
    <t>3.685.000</t>
  </si>
  <si>
    <t>Cột trang trí SV35 thân thép D168 LED 40W-50W-100W cao 3,5m</t>
  </si>
  <si>
    <t>6.120.000</t>
  </si>
  <si>
    <t>Đế DP03</t>
  </si>
  <si>
    <t>6.116.000</t>
  </si>
  <si>
    <t>Cột DP01 (lắp cho cột sân vườn</t>
  </si>
  <si>
    <t>4.147.000</t>
  </si>
  <si>
    <t>Cột củ tỏi DP04</t>
  </si>
  <si>
    <t>3.905.000</t>
  </si>
  <si>
    <t>Cột sư tử DP02</t>
  </si>
  <si>
    <t>7.699.000</t>
  </si>
  <si>
    <t>Đế cột PINE + Thân D108</t>
  </si>
  <si>
    <t>3.900.000</t>
  </si>
  <si>
    <t>Đế cột DC06 + Thân D76</t>
  </si>
  <si>
    <t>3.952.000</t>
  </si>
  <si>
    <t>Đế cột DC05 + Thân D108</t>
  </si>
  <si>
    <t>7.794.000</t>
  </si>
  <si>
    <t>Cột DC01 (lắp cho cột thép)</t>
  </si>
  <si>
    <t>4.645.000</t>
  </si>
  <si>
    <t>Đế cột BANIAN + Thân D108</t>
  </si>
  <si>
    <t>4.534.000</t>
  </si>
  <si>
    <t>Đế cột NOUVO + Thân D108</t>
  </si>
  <si>
    <t>5.689.000</t>
  </si>
  <si>
    <t>Đế cột DC02 + Thân D76</t>
  </si>
  <si>
    <t>3.513.000</t>
  </si>
  <si>
    <t>Chùm CH02 (4+1)</t>
  </si>
  <si>
    <t xml:space="preserve">TCCS 
01:2018/CSMB, ISO 9001:2015
</t>
  </si>
  <si>
    <t xml:space="preserve">1.178.000 </t>
  </si>
  <si>
    <t>Chùm CH02 (3+1)</t>
  </si>
  <si>
    <t xml:space="preserve">1.026.000 </t>
  </si>
  <si>
    <t>Chùm CH04 (4+1)</t>
  </si>
  <si>
    <t xml:space="preserve">1.758.000 </t>
  </si>
  <si>
    <t xml:space="preserve">Chùm CH04 (3+1) </t>
  </si>
  <si>
    <t xml:space="preserve">1.524.000 </t>
  </si>
  <si>
    <t>Chùm CH06 (4+1)</t>
  </si>
  <si>
    <t>Chùm CH06 (3+1)</t>
  </si>
  <si>
    <t>Chùm CH07 (4+1)</t>
  </si>
  <si>
    <t xml:space="preserve">1.717.000 </t>
  </si>
  <si>
    <t xml:space="preserve">Chùm CH07 (3+1) </t>
  </si>
  <si>
    <t xml:space="preserve">1.386.000 </t>
  </si>
  <si>
    <t xml:space="preserve">Chùm CH08 (3+1) </t>
  </si>
  <si>
    <t xml:space="preserve">1.358.000 </t>
  </si>
  <si>
    <t xml:space="preserve">Chùm CH11 (3+1) </t>
  </si>
  <si>
    <t xml:space="preserve">Chùm CH11 (4+1) </t>
  </si>
  <si>
    <t xml:space="preserve">1.993.000 </t>
  </si>
  <si>
    <t xml:space="preserve">Chùm CH12 </t>
  </si>
  <si>
    <t xml:space="preserve">1.593.900 </t>
  </si>
  <si>
    <t>Đèn Jupiter</t>
  </si>
  <si>
    <t xml:space="preserve">1.731.000 </t>
  </si>
  <si>
    <t>Cột Alequyn+Chùm Alequyn (3+1)</t>
  </si>
  <si>
    <t xml:space="preserve">3.766.000 </t>
  </si>
  <si>
    <t>Cần đèn lắp vào thân cột thép - D78</t>
  </si>
  <si>
    <t xml:space="preserve">Cần đơn MB01-D </t>
  </si>
  <si>
    <t>1.157.000</t>
  </si>
  <si>
    <t>Cần kép MB01-K</t>
  </si>
  <si>
    <t>Cần đơn MB02-D</t>
  </si>
  <si>
    <t>Cần kép MB02-K</t>
  </si>
  <si>
    <t>1.340.000</t>
  </si>
  <si>
    <t>Cần đơn MB06-D</t>
  </si>
  <si>
    <t>Cần kép MB06-K</t>
  </si>
  <si>
    <t>1.013.000</t>
  </si>
  <si>
    <t>Cần đơn MB03-D</t>
  </si>
  <si>
    <t>1.079.000</t>
  </si>
  <si>
    <t>Cần kép MB03-K</t>
  </si>
  <si>
    <t>1.699.000</t>
  </si>
  <si>
    <t>Cần đơn MB04-D</t>
  </si>
  <si>
    <t>1.378.000</t>
  </si>
  <si>
    <t>Cần kép MB04-K</t>
  </si>
  <si>
    <t>1.617.000</t>
  </si>
  <si>
    <t>Cột thép chiếu sáng - Liền cần đơn</t>
  </si>
  <si>
    <t>Cột bát giác, tròn côn  H=4m, dày 3mm, bích đế 300x300</t>
  </si>
  <si>
    <t>Cột bát giác, tròn côn  H=5m, dày 3mm, bích đế 300x300</t>
  </si>
  <si>
    <t>1.950.000</t>
  </si>
  <si>
    <t>Cột bát giác, tròn côn  H=6m, dày 3mm, bích đế 300x300</t>
  </si>
  <si>
    <t>2.500.000</t>
  </si>
  <si>
    <t>Cột bát giác, tròn côn  H=7m, dày 3mm, bích đế 300x300</t>
  </si>
  <si>
    <t>2.897.000</t>
  </si>
  <si>
    <t>Cột bát giác, tròn côn  H=7m, dày 3,5mm, bích đế 400x400</t>
  </si>
  <si>
    <t>3.262.000</t>
  </si>
  <si>
    <t>Cột bát giác, tròn côn  H=8m, dày 3mm, bích đế 300x300</t>
  </si>
  <si>
    <t xml:space="preserve"> 3.328.000</t>
  </si>
  <si>
    <t>Cột bát giác, tròn côn  H=8m, dày 3,5mm, bích đế 400x400</t>
  </si>
  <si>
    <t>4.156.000</t>
  </si>
  <si>
    <t>Cột bát giác, tròn côn  H=9m, dày 3mm, bích đế 300x300</t>
  </si>
  <si>
    <t>3.858.000</t>
  </si>
  <si>
    <t>Cột bát giác, tròn côn  H=9m, dày 3,5mm, bích đế 400x400</t>
  </si>
  <si>
    <t>4.735.000</t>
  </si>
  <si>
    <t>Cột bát giác, tròn côn  H=10m, dày 3mm, bích đế 400x400</t>
  </si>
  <si>
    <t>4.404.000</t>
  </si>
  <si>
    <t>Cột bát giác, tròn côn  H=10m, dày 3,5mm, bích đế 400x400</t>
  </si>
  <si>
    <t>5.033.000</t>
  </si>
  <si>
    <t>Cột bát giác, tròn côn  H=11m, dày 3,5mm, bích đế 400x400</t>
  </si>
  <si>
    <t>5.365.000</t>
  </si>
  <si>
    <t>Cột bát giác, tròn côn  H=11m, dày 4mm, bích đế 400x400</t>
  </si>
  <si>
    <t>6.043.000</t>
  </si>
  <si>
    <t>Cột bát giác, tròn côn  H=12m, dày 4mm, bích đế 400x400</t>
  </si>
  <si>
    <t>7.255.000</t>
  </si>
  <si>
    <t xml:space="preserve">Thân cột thép chiếu sáng - D78 </t>
  </si>
  <si>
    <t>Cột bát giác, tròn côn  H=3m, dày 3mm, bích đế 300x300</t>
  </si>
  <si>
    <t>1.550.000</t>
  </si>
  <si>
    <t>Cột bát giác, tròn côn  H=4m, dày 3mm, bích đế 400x400</t>
  </si>
  <si>
    <t>1.700.000</t>
  </si>
  <si>
    <t>2.268.000</t>
  </si>
  <si>
    <t>Cột bát giác, tròn côn  H=6m, dày 3mm, bích đế 400x400</t>
  </si>
  <si>
    <t xml:space="preserve"> 3.046.000</t>
  </si>
  <si>
    <t>Cột bát giác, tròn côn  H=7m, dày 3mm, bích đế 400x400</t>
  </si>
  <si>
    <t>3.543.000</t>
  </si>
  <si>
    <t>4.591.000</t>
  </si>
  <si>
    <t>4.653.000</t>
  </si>
  <si>
    <t>Cột bát giác, tròn côn  H=8m, dày 4mm, bích đế 400x400</t>
  </si>
  <si>
    <t>5.199.000</t>
  </si>
  <si>
    <t>6.000.000</t>
  </si>
  <si>
    <t>Cột bát giác, tròn côn  H=9m, dày 4mm, bích đế 400x400</t>
  </si>
  <si>
    <t>6.598.000</t>
  </si>
  <si>
    <t>Cột bát giác, tròn côn  H=10m, dày 4mm, bích đế 400x400</t>
  </si>
  <si>
    <t>6.772.000</t>
  </si>
  <si>
    <t>7.617.000</t>
  </si>
  <si>
    <t>9.179.000</t>
  </si>
  <si>
    <t xml:space="preserve">Cột giàn đèn nâng hạ, mạ kẽm nhúng nóng theo tiêu chuẩn ASTM A123, thép SS400, nâng hạ tự động giàn đèn, kim thu sét thụ động D16 </t>
  </si>
  <si>
    <t>Cột đèn nâng hạ 17m ( có bộ điện nâng hạ, lọng bắt 8-12 đèn)</t>
  </si>
  <si>
    <t>97.400.000</t>
  </si>
  <si>
    <t>Cột đèn nâng hạ 20m ( có bộ điện nâng hạ, lọng bắt 8-12 đèn)</t>
  </si>
  <si>
    <t>109.400.000</t>
  </si>
  <si>
    <t>Cột đèn nâng hạ 25m ( có bộ điện nâng hạ, lọng bắt 8-12 đèn)</t>
  </si>
  <si>
    <t>119.400.000</t>
  </si>
  <si>
    <t>Cột đèn nâng hạ 30m ( có bộ điện nâng hạ, lọng bắt 8-12 đèn)</t>
  </si>
  <si>
    <t>134.000.000</t>
  </si>
  <si>
    <t>Cột đèn nâng hạ 35m ( có bộ điện nâng hạ, lọng bắt 8-12 đèn)</t>
  </si>
  <si>
    <t>158.000.000</t>
  </si>
  <si>
    <t>Cột đèn pha sân Golf</t>
  </si>
  <si>
    <t>Cột đa giác, tròn côn 13m (dày 4mm) bắt 2-8 đèn pha</t>
  </si>
  <si>
    <t>16.500.000</t>
  </si>
  <si>
    <t>Cột đa giác, tròn côn 14m (dày 4mm) bắt 2-8 đèn pha</t>
  </si>
  <si>
    <t>18.520.000</t>
  </si>
  <si>
    <t>Cột đa giác, tròn côn 15m (dày 4/5mm) bắt 2-8 đèn pha</t>
  </si>
  <si>
    <t>23.530.000</t>
  </si>
  <si>
    <t>Cột đa giác, tròn côn 16m (dày 4/5mm) bắt 2-8 đèn pha</t>
  </si>
  <si>
    <t>24.521.000</t>
  </si>
  <si>
    <t>Cột đa giác, tròn côn 17m (dày 5/6mm) bắt 2-8 đèn pha</t>
  </si>
  <si>
    <t>27.520.000</t>
  </si>
  <si>
    <t>Cột đa giác, tròn côn 18m (dày 5/6mm) bắt 2-8 đèn pha</t>
  </si>
  <si>
    <t>29.670.000</t>
  </si>
  <si>
    <t>Cột đa giác, tròn côn 19m (dày 5/6mm) bắt 2-8 đèn pha</t>
  </si>
  <si>
    <t>33.500.000</t>
  </si>
  <si>
    <t>Nắp hố ga, song chắn rác bằng vật liệu Composite, Gang</t>
  </si>
  <si>
    <t>Song chắn rác Composite, Gang 860x430x60 + Khung 960x530 tải trọng 12.5 tấn</t>
  </si>
  <si>
    <t>BS EN 124-5:2015, ISO 9001:2015</t>
  </si>
  <si>
    <t>2.000.000</t>
  </si>
  <si>
    <t>Song chắn rác Composite, Gang 860x430x60 + Khung 960x530 tải trọng 25 tấn</t>
  </si>
  <si>
    <t>3.250.000</t>
  </si>
  <si>
    <t>Song chắn rác Composite, Gang 860x430x60 + Khung 960x530 tải trọng 40 tấn</t>
  </si>
  <si>
    <t>3.980.000</t>
  </si>
  <si>
    <t>Song chắn rác Composite , Gang 860x430x60 tải trọng 12.5 tấn</t>
  </si>
  <si>
    <t>1.400.000</t>
  </si>
  <si>
    <t>2.050.000</t>
  </si>
  <si>
    <t>2.450.000</t>
  </si>
  <si>
    <t>Song chắn rác Composite, Gang 960x530x30 tải trọng 12.5 tấn</t>
  </si>
  <si>
    <t>1.680.000</t>
  </si>
  <si>
    <t>Song chắn rác Composite, Gang 960x530x30 tải trọng 25 tấn</t>
  </si>
  <si>
    <t>1.850.000</t>
  </si>
  <si>
    <t>Song chắn rác Composite, Gang 960x530x30 tải trọng 40 tấn</t>
  </si>
  <si>
    <t>2.250.000</t>
  </si>
  <si>
    <t>Song chắn rác Composite 960x530x60 tải trọng 12.5 tấn</t>
  </si>
  <si>
    <t>2.030.000</t>
  </si>
  <si>
    <t>Nắp hố ga Composite, Gang  850x850x30 tải trọng 12.5 tấn</t>
  </si>
  <si>
    <t>2.100.000</t>
  </si>
  <si>
    <t>Nắp hố ga Composite, Gang  850x850x30 tải trọng 25 tấn</t>
  </si>
  <si>
    <t>3.230.000</t>
  </si>
  <si>
    <t>Nắp hố ga Composite, Gang  850x850x30 tải trọng 40 tấn</t>
  </si>
  <si>
    <t>Nắp hố ga Composite, Gang  900x900x60 D700 tải trọng 12.5 tấn</t>
  </si>
  <si>
    <t>2.700.000</t>
  </si>
  <si>
    <t>Nắp hố ga Composite, Gang  900x900x60 D700 tải trọng 25 tấn</t>
  </si>
  <si>
    <t>3.750.000</t>
  </si>
  <si>
    <t>Nắp hố ga Composite, Gang  900x900x60 D700 tải trọng 40 tấn</t>
  </si>
  <si>
    <t>4.250.000</t>
  </si>
  <si>
    <t>Nắp thăm thu kết hợp CPS KT 1050x745x80 (mm) Tải trọng 12,5 tấn</t>
  </si>
  <si>
    <t>3.600.000</t>
  </si>
  <si>
    <t>Cột đèn Tín hiệu giao thông</t>
  </si>
  <si>
    <t>Cột thép đa giác, tròn côn THGT H= 6,2m dày 6mm, tay vươn đơn 6m dày 5mm</t>
  </si>
  <si>
    <t>12.900.000</t>
  </si>
  <si>
    <t>Cột thép đa giác, tròn côn THGT H= 6,2m dày 6mm, tay vươn đơn 4m dày 5mm</t>
  </si>
  <si>
    <t>12.300.000</t>
  </si>
  <si>
    <t>Cột thép đa giác, tròn côn THGT H= 3,3m, tay vươn đơn 4m, dày 5mm</t>
  </si>
  <si>
    <t>10.600.000</t>
  </si>
  <si>
    <t xml:space="preserve">Cột thép đa giác, tròn côn THGTH= 6,2m dày 6mm, tay vươn vuông góc 5m + 2m dày 4mm </t>
  </si>
  <si>
    <t>13.000.000</t>
  </si>
  <si>
    <t xml:space="preserve">Cột thép đa giác, tròn côn THGT H= 5,6m, tay vươn đơn 5m, dày 5mm </t>
  </si>
  <si>
    <t xml:space="preserve">Cột thép đa giác, tròn côn THGT H= 4,4m dày 3mm </t>
  </si>
  <si>
    <t>2.670.000</t>
  </si>
  <si>
    <t>Thanh giá treo đèn thép mạ kẽm D60 dày 3mm</t>
  </si>
  <si>
    <t>Cột thép đa giác, tròn côn THGT H= 2,5m dày 3mm</t>
  </si>
  <si>
    <t>2.140.000</t>
  </si>
  <si>
    <t>Đèn LED cảnh báo tín hiệu giao thông màu vàng D300mm sử dụng năng lượng mặt trời (đã bao gồm pin năng lượng mặt trời, tủ điều khiển)</t>
  </si>
  <si>
    <t>7.300.000</t>
  </si>
  <si>
    <t>Bộ Đèn tín hiệu giao thông 3 màu xanh, đỏ, vàng (Led), vỏ hộp và tay đỡ bóng nhựa ABS</t>
  </si>
  <si>
    <t>8.056.000</t>
  </si>
  <si>
    <t>Đèn LED THGT 3 x D100</t>
  </si>
  <si>
    <t>5.560.000</t>
  </si>
  <si>
    <t>Đèn LED THGT 3 x D200</t>
  </si>
  <si>
    <t>6.060.000</t>
  </si>
  <si>
    <t>Đèn LED THGT 3 x D300</t>
  </si>
  <si>
    <t>7.970.000</t>
  </si>
  <si>
    <t>Đèn mũi tên chỉ hướng D300, Led</t>
  </si>
  <si>
    <t>2.900.000</t>
  </si>
  <si>
    <t>Đèn chữ thập D200 (Led), vỏ hộp và tay đỡ bóng nhựa ABS</t>
  </si>
  <si>
    <t>3.180.000</t>
  </si>
  <si>
    <t>Đèn LED chữ thập D300 (Led), vỏ hộp và tay đỡ bóng nhựa ABS</t>
  </si>
  <si>
    <t>3.620.000</t>
  </si>
  <si>
    <t>Đèn LED đếm ngược D300 (Led) vỏ hộp và tay đỡ bóng nhựa ABS</t>
  </si>
  <si>
    <t>2.680.000</t>
  </si>
  <si>
    <t>Đèn LED đếm ngược D400 (Led) vỏ hộp và tay đỡ bóng nhựa ABS</t>
  </si>
  <si>
    <t>3.700.000</t>
  </si>
  <si>
    <t>Đèn LED đếm ngược D600 (Led) vỏ hộp và tay đỡ thép sơn tĩnh điện</t>
  </si>
  <si>
    <t>Đèn LED đi bộ 2 x D200 (Led hình người đỏ, xanh), vỏ hộp và tay nhựa ABS</t>
  </si>
  <si>
    <t>4.900.000</t>
  </si>
  <si>
    <t>Đèn LED đi bộ D300 (Led hình người đỏ, xanh), vỏ hộp và tay nhựa ABS</t>
  </si>
  <si>
    <t>2.950.000</t>
  </si>
  <si>
    <t>Trụ tủ điều khiển tín hiệu giao thông</t>
  </si>
  <si>
    <t>52.500.000</t>
  </si>
  <si>
    <t>Tủ điều khiển tín hiệu giao thông 2 pha, ổn áp 2000VA KT: 800x800x450mm</t>
  </si>
  <si>
    <t>32.500.000</t>
  </si>
  <si>
    <t>Tủ điện điều khiển chiếu sáng trọn bộ 50A ( vỏ tủ 1200x600x400, tôn dày 1,2mm, thiết bị đóng cắt LS Hàn Quốc chính hãng) chưa bao gồm Công tơ điện lực cấp</t>
  </si>
  <si>
    <t>10.350.000</t>
  </si>
  <si>
    <t>Tủ điện điều khiển chiếu sáng trọn bộ 63A ( vỏ tủ 1200x600x400, tôn dày 1,2mm, thiết bị đóng cắt LS Hàn Quốc chính hãng) chưa bao gồm Công tơ điện lực cấp</t>
  </si>
  <si>
    <t>10.950.000</t>
  </si>
  <si>
    <t>Tủ điện điều khiển chiếu sáng trọn bộ 100A ( vỏ tủ 1200x600x400, tôn dày 1,2mm, thiết bị đóng cắt LS Hàn Quốc chính hãng) chưa bao gồm Công tơ điện lực cấp</t>
  </si>
  <si>
    <t>12.950.000</t>
  </si>
  <si>
    <t>Tủ điện điều khiển chiếu sáng trọn bộ 50A ( vỏ tủ 1200x600x350, tôn dày 1,5mm, thiết bị đóng cắt LS Hàn Quốc chính hãng) chưa bao gồm Công tơ điện lực cấp</t>
  </si>
  <si>
    <t>11.350.000</t>
  </si>
  <si>
    <t>Tủ điện điều khiển chiếu sáng trọn bộ 63A ( vỏ tủ 1200x600x350, tôn dày 1,5mm, thiết bị đóng cắt LS Hàn Quốc chính hãng) chưa bao gồm Công tơ điện lực cấp</t>
  </si>
  <si>
    <t>Tủ điện điều khiển chiếu sáng trọn bộ 100A ( vỏ tủ 1200x600x350, tôn dày 1,5mm, thiết bị đóng cắt LS Hàn Quốc chính hãng) chưa bao gồm Công tơ điện lực cấp</t>
  </si>
  <si>
    <t>Khung móng đúc sẵn</t>
  </si>
  <si>
    <t>M16x240x240x500-4T (chiều dài 550)</t>
  </si>
  <si>
    <t>M16x260x260x500-4T (chiều dài 550)</t>
  </si>
  <si>
    <t>M16x340x340x500-4T (chiều dài 550)</t>
  </si>
  <si>
    <t>M24x300x300x675-4T (chiều dài 750)</t>
  </si>
  <si>
    <t>M24x400x1350-8T (chiều dài 1450)thép C45, lắp cột 13-16m</t>
  </si>
  <si>
    <t>M24x450x1500-8T (chiều dài 1600)  thép C45, lắp cột 17-18m không nâng hạ</t>
  </si>
  <si>
    <t>M30x800x1750-18T (chiều dài 1750)  thép C45, 2 tầng đĩa định vị lắp cột nâng hạ 17-25m</t>
  </si>
  <si>
    <t>M30x900x2000-20T (chiều dài 2000) thép C45, 2 tầng đĩa định vị lắp cột nâng hạ 30-35m</t>
  </si>
  <si>
    <t>Công ty TNHH MTV Xi măng Quang Sơn</t>
  </si>
  <si>
    <t>(giá bán đến chân công trình tại TPLS)</t>
  </si>
  <si>
    <t>Xi măng bao Thạch Long</t>
  </si>
  <si>
    <t>Xi măng bao Thần Sa</t>
  </si>
  <si>
    <t>3.13</t>
  </si>
  <si>
    <t xml:space="preserve">( Kèm theo Công bố giá số 08/CBGVLXD-SXD ngày 12  tháng 12 năm 2022 của Sở Xây dựng)     </t>
  </si>
  <si>
    <t xml:space="preserve">BẢNG CÔNG BỐ GIÁ ĐÁ THÁNG 9 NĂM 2022 BÁN TẠI CÁC MỎ </t>
  </si>
  <si>
    <t xml:space="preserve">(Kèm theo Công bố giá số 08/CBGVLXD-SXD ngày 12 tháng 12  năm 2022 của Sở Xây dựng)    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</si>
</sst>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76" formatCode="_(* #,##0_);_(* \(#,##0\);_(* &quot;-&quot;??_);_(@_)"/>
    <numFmt numFmtId="177" formatCode="###\ ###\ ###"/>
    <numFmt numFmtId="178" formatCode="#,##0.000"/>
    <numFmt numFmtId="179" formatCode="#,##0.0"/>
    <numFmt numFmtId="180" formatCode="_(* #,##0.000_);_(* \(#,##0.000\);_(* &quot;-&quot;??_);_(@_)"/>
    <numFmt numFmtId="188" formatCode="0.0"/>
    <numFmt numFmtId="192" formatCode="#,##0;[Red]#,##0"/>
  </numFmts>
  <fonts count="128">
    <font>
      <sz val="12"/>
      <name val=".VnTime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.VnTime"/>
      <family val="2"/>
    </font>
    <font>
      <b/>
      <sz val="14"/>
      <name val="Times New Roman"/>
      <family val="1"/>
    </font>
    <font>
      <b/>
      <sz val="9"/>
      <name val=".VnTimeH"/>
      <family val="2"/>
    </font>
    <font>
      <sz val="11"/>
      <name val=".VnTimeH"/>
      <family val="2"/>
    </font>
    <font>
      <sz val="11"/>
      <name val=".VnArial"/>
      <family val="2"/>
    </font>
    <font>
      <sz val="13"/>
      <name val=".VnTime"/>
      <family val="2"/>
    </font>
    <font>
      <sz val="13"/>
      <name val=".VnArial"/>
      <family val="2"/>
    </font>
    <font>
      <b/>
      <sz val="11"/>
      <name val=".VnTimeh"/>
      <family val="2"/>
    </font>
    <font>
      <b/>
      <sz val="14"/>
      <name val=".VnTimeH"/>
      <family val="2"/>
    </font>
    <font>
      <b/>
      <sz val="10"/>
      <name val=".VnTimeH"/>
      <family val="2"/>
    </font>
    <font>
      <sz val="12"/>
      <name val=".VnTimeH"/>
      <family val="2"/>
    </font>
    <font>
      <sz val="14"/>
      <name val=".VnTimeH"/>
      <family val="2"/>
    </font>
    <font>
      <b/>
      <sz val="12"/>
      <name val=".VnTimeH"/>
      <family val="2"/>
    </font>
    <font>
      <sz val="12"/>
      <color indexed="8"/>
      <name val=".VnTime"/>
      <family val="2"/>
    </font>
    <font>
      <sz val="12"/>
      <name val=".VnArial"/>
      <family val="2"/>
    </font>
    <font>
      <u val="single"/>
      <sz val="13.8"/>
      <color indexed="12"/>
      <name val=".VnTime"/>
      <family val="2"/>
    </font>
    <font>
      <u val="single"/>
      <sz val="13.8"/>
      <color indexed="36"/>
      <name val=".VnTime"/>
      <family val="2"/>
    </font>
    <font>
      <sz val="14"/>
      <name val=".VnTime"/>
      <family val="2"/>
    </font>
    <font>
      <b/>
      <sz val="14"/>
      <name val=".VnTime"/>
      <family val="2"/>
    </font>
    <font>
      <sz val="14"/>
      <name val="Times New Roman"/>
      <family val="1"/>
    </font>
    <font>
      <sz val="14"/>
      <color indexed="10"/>
      <name val=".VnTime"/>
      <family val="2"/>
    </font>
    <font>
      <sz val="14"/>
      <color indexed="18"/>
      <name val=".VnTime"/>
      <family val="2"/>
    </font>
    <font>
      <b/>
      <sz val="11"/>
      <name val="Times New Roman"/>
      <family val="1"/>
    </font>
    <font>
      <b/>
      <sz val="16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name val="Times New Roman"/>
      <family val="1"/>
    </font>
    <font>
      <sz val="8"/>
      <name val=".VnTime"/>
      <family val="2"/>
    </font>
    <font>
      <i/>
      <sz val="12"/>
      <name val="Times New Roman"/>
      <family val="1"/>
    </font>
    <font>
      <sz val="11"/>
      <color indexed="8"/>
      <name val="Arial"/>
      <family val="2"/>
    </font>
    <font>
      <b/>
      <i/>
      <u val="single"/>
      <sz val="13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.VnTime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b/>
      <i/>
      <sz val="12"/>
      <name val="Times New Roman"/>
      <family val="1"/>
    </font>
    <font>
      <sz val="10"/>
      <name val="Times New Roman"/>
      <family val="1"/>
    </font>
    <font>
      <i/>
      <sz val="13"/>
      <name val="Times New Roman"/>
      <family val="1"/>
    </font>
    <font>
      <i/>
      <sz val="12"/>
      <name val=".VnTime"/>
      <family val="2"/>
    </font>
    <font>
      <b/>
      <sz val="10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u val="single"/>
      <sz val="10"/>
      <name val="Times New Roman"/>
      <family val="1"/>
    </font>
    <font>
      <sz val="10"/>
      <name val="Arial"/>
      <family val="2"/>
    </font>
    <font>
      <b/>
      <i/>
      <u val="single"/>
      <sz val="10"/>
      <name val="Times New Roman"/>
      <family val="1"/>
    </font>
    <font>
      <b/>
      <sz val="12"/>
      <name val=".VnTime"/>
      <family val="2"/>
    </font>
    <font>
      <b/>
      <i/>
      <sz val="12"/>
      <name val=".VnTime"/>
      <family val="2"/>
    </font>
    <font>
      <b/>
      <i/>
      <sz val="11"/>
      <name val="Arial"/>
      <family val="2"/>
    </font>
    <font>
      <b/>
      <sz val="14"/>
      <color indexed="12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3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  <font>
      <i/>
      <sz val="11"/>
      <color indexed="12"/>
      <name val="Times New Roman"/>
      <family val="1"/>
    </font>
    <font>
      <b/>
      <i/>
      <sz val="11"/>
      <color indexed="12"/>
      <name val="Times New Roman"/>
      <family val="1"/>
    </font>
    <font>
      <i/>
      <sz val="12"/>
      <color indexed="12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b/>
      <sz val="10"/>
      <name val="Arial"/>
      <family val="2"/>
    </font>
    <font>
      <i/>
      <sz val="13"/>
      <name val="3C_Times_T"/>
      <family val="0"/>
    </font>
    <font>
      <sz val="10"/>
      <color indexed="8"/>
      <name val="Arial"/>
      <family val="2"/>
    </font>
    <font>
      <i/>
      <sz val="11"/>
      <color indexed="23"/>
      <name val="Times New Roman"/>
      <family val="2"/>
    </font>
    <font>
      <u val="single"/>
      <sz val="10"/>
      <color indexed="20"/>
      <name val="Arial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i/>
      <sz val="10"/>
      <name val="MS Sans Serif"/>
      <family val="2"/>
    </font>
    <font>
      <sz val="12"/>
      <name val="VNI-Times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FF"/>
      <name val="Times New Roman"/>
      <family val="1"/>
    </font>
    <font>
      <sz val="11"/>
      <color rgb="FF0000FF"/>
      <name val="Times New Roman"/>
      <family val="1"/>
    </font>
    <font>
      <i/>
      <sz val="11"/>
      <color rgb="FF0000FF"/>
      <name val="Times New Roman"/>
      <family val="1"/>
    </font>
    <font>
      <b/>
      <i/>
      <sz val="11"/>
      <color rgb="FF0000FF"/>
      <name val="Times New Roman"/>
      <family val="1"/>
    </font>
    <font>
      <i/>
      <sz val="12"/>
      <color rgb="FF0000FF"/>
      <name val="Times New Roman"/>
      <family val="1"/>
    </font>
    <font>
      <b/>
      <sz val="8"/>
      <name val=".VnTim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 style="thin">
        <color indexed="12"/>
      </right>
      <top style="hair">
        <color indexed="12"/>
      </top>
      <bottom style="hair">
        <color indexed="12"/>
      </bottom>
    </border>
    <border>
      <left style="thin">
        <color indexed="12"/>
      </left>
      <right style="thin">
        <color indexed="12"/>
      </right>
      <top style="hair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hair">
        <color indexed="1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81">
    <xf numFmtId="0" fontId="0" fillId="0" borderId="0">
      <alignment/>
      <protection/>
    </xf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04" fillId="2" borderId="0" applyNumberFormat="0" applyBorder="0" applyAlignment="0" applyProtection="0"/>
    <xf numFmtId="0" fontId="104" fillId="3" borderId="0" applyNumberFormat="0" applyBorder="0" applyAlignment="0" applyProtection="0"/>
    <xf numFmtId="0" fontId="104" fillId="4" borderId="0" applyNumberFormat="0" applyBorder="0" applyAlignment="0" applyProtection="0"/>
    <xf numFmtId="0" fontId="104" fillId="5" borderId="0" applyNumberFormat="0" applyBorder="0" applyAlignment="0" applyProtection="0"/>
    <xf numFmtId="0" fontId="104" fillId="6" borderId="0" applyNumberFormat="0" applyBorder="0" applyAlignment="0" applyProtection="0"/>
    <xf numFmtId="0" fontId="104" fillId="7" borderId="0" applyNumberFormat="0" applyBorder="0" applyAlignment="0" applyProtection="0"/>
    <xf numFmtId="0" fontId="104" fillId="8" borderId="0" applyNumberFormat="0" applyBorder="0" applyAlignment="0" applyProtection="0"/>
    <xf numFmtId="0" fontId="104" fillId="9" borderId="0" applyNumberFormat="0" applyBorder="0" applyAlignment="0" applyProtection="0"/>
    <xf numFmtId="0" fontId="104" fillId="10" borderId="0" applyNumberFormat="0" applyBorder="0" applyAlignment="0" applyProtection="0"/>
    <xf numFmtId="0" fontId="104" fillId="11" borderId="0" applyNumberFormat="0" applyBorder="0" applyAlignment="0" applyProtection="0"/>
    <xf numFmtId="0" fontId="104" fillId="12" borderId="0" applyNumberFormat="0" applyBorder="0" applyAlignment="0" applyProtection="0"/>
    <xf numFmtId="0" fontId="104" fillId="13" borderId="0" applyNumberFormat="0" applyBorder="0" applyAlignment="0" applyProtection="0"/>
    <xf numFmtId="0" fontId="105" fillId="14" borderId="0" applyNumberFormat="0" applyBorder="0" applyAlignment="0" applyProtection="0"/>
    <xf numFmtId="0" fontId="105" fillId="15" borderId="0" applyNumberFormat="0" applyBorder="0" applyAlignment="0" applyProtection="0"/>
    <xf numFmtId="0" fontId="105" fillId="16" borderId="0" applyNumberFormat="0" applyBorder="0" applyAlignment="0" applyProtection="0"/>
    <xf numFmtId="0" fontId="105" fillId="17" borderId="0" applyNumberFormat="0" applyBorder="0" applyAlignment="0" applyProtection="0"/>
    <xf numFmtId="0" fontId="105" fillId="18" borderId="0" applyNumberFormat="0" applyBorder="0" applyAlignment="0" applyProtection="0"/>
    <xf numFmtId="0" fontId="105" fillId="19" borderId="0" applyNumberFormat="0" applyBorder="0" applyAlignment="0" applyProtection="0"/>
    <xf numFmtId="0" fontId="105" fillId="20" borderId="0" applyNumberFormat="0" applyBorder="0" applyAlignment="0" applyProtection="0"/>
    <xf numFmtId="0" fontId="105" fillId="21" borderId="0" applyNumberFormat="0" applyBorder="0" applyAlignment="0" applyProtection="0"/>
    <xf numFmtId="0" fontId="105" fillId="22" borderId="0" applyNumberFormat="0" applyBorder="0" applyAlignment="0" applyProtection="0"/>
    <xf numFmtId="0" fontId="105" fillId="23" borderId="0" applyNumberFormat="0" applyBorder="0" applyAlignment="0" applyProtection="0"/>
    <xf numFmtId="0" fontId="105" fillId="24" borderId="0" applyNumberFormat="0" applyBorder="0" applyAlignment="0" applyProtection="0"/>
    <xf numFmtId="0" fontId="105" fillId="25" borderId="0" applyNumberFormat="0" applyBorder="0" applyAlignment="0" applyProtection="0"/>
    <xf numFmtId="0" fontId="106" fillId="26" borderId="0" applyNumberFormat="0" applyBorder="0" applyAlignment="0" applyProtection="0"/>
    <xf numFmtId="0" fontId="107" fillId="27" borderId="1" applyNumberFormat="0" applyAlignment="0" applyProtection="0"/>
    <xf numFmtId="0" fontId="10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0" fillId="29" borderId="0" applyNumberFormat="0" applyBorder="0" applyAlignment="0" applyProtection="0"/>
    <xf numFmtId="0" fontId="111" fillId="0" borderId="3" applyNumberFormat="0" applyFill="0" applyAlignment="0" applyProtection="0"/>
    <xf numFmtId="0" fontId="112" fillId="0" borderId="4" applyNumberFormat="0" applyFill="0" applyAlignment="0" applyProtection="0"/>
    <xf numFmtId="0" fontId="113" fillId="0" borderId="5" applyNumberFormat="0" applyFill="0" applyAlignment="0" applyProtection="0"/>
    <xf numFmtId="0" fontId="1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4" fillId="30" borderId="1" applyNumberFormat="0" applyAlignment="0" applyProtection="0"/>
    <xf numFmtId="0" fontId="115" fillId="0" borderId="6" applyNumberFormat="0" applyFill="0" applyAlignment="0" applyProtection="0"/>
    <xf numFmtId="0" fontId="116" fillId="31" borderId="0" applyNumberFormat="0" applyBorder="0" applyAlignment="0" applyProtection="0"/>
    <xf numFmtId="0" fontId="117" fillId="0" borderId="0">
      <alignment/>
      <protection/>
    </xf>
    <xf numFmtId="0" fontId="117" fillId="0" borderId="0">
      <alignment/>
      <protection/>
    </xf>
    <xf numFmtId="0" fontId="117" fillId="0" borderId="0">
      <alignment/>
      <protection/>
    </xf>
    <xf numFmtId="0" fontId="117" fillId="0" borderId="0">
      <alignment/>
      <protection/>
    </xf>
    <xf numFmtId="0" fontId="117" fillId="0" borderId="0">
      <alignment/>
      <protection/>
    </xf>
    <xf numFmtId="0" fontId="117" fillId="0" borderId="0">
      <alignment/>
      <protection/>
    </xf>
    <xf numFmtId="0" fontId="117" fillId="0" borderId="0">
      <alignment/>
      <protection/>
    </xf>
    <xf numFmtId="0" fontId="117" fillId="0" borderId="0">
      <alignment/>
      <protection/>
    </xf>
    <xf numFmtId="0" fontId="117" fillId="0" borderId="0">
      <alignment/>
      <protection/>
    </xf>
    <xf numFmtId="0" fontId="0" fillId="0" borderId="0">
      <alignment/>
      <protection/>
    </xf>
    <xf numFmtId="0" fontId="117" fillId="0" borderId="0">
      <alignment/>
      <protection/>
    </xf>
    <xf numFmtId="0" fontId="117" fillId="0" borderId="0">
      <alignment/>
      <protection/>
    </xf>
    <xf numFmtId="0" fontId="117" fillId="0" borderId="0">
      <alignment/>
      <protection/>
    </xf>
    <xf numFmtId="0" fontId="117" fillId="0" borderId="0">
      <alignment/>
      <protection/>
    </xf>
    <xf numFmtId="0" fontId="117" fillId="0" borderId="0">
      <alignment/>
      <protection/>
    </xf>
    <xf numFmtId="0" fontId="117" fillId="0" borderId="0">
      <alignment/>
      <protection/>
    </xf>
    <xf numFmtId="0" fontId="117" fillId="0" borderId="0">
      <alignment/>
      <protection/>
    </xf>
    <xf numFmtId="0" fontId="0" fillId="32" borderId="7" applyNumberFormat="0" applyFont="0" applyAlignment="0" applyProtection="0"/>
    <xf numFmtId="0" fontId="118" fillId="27" borderId="8" applyNumberFormat="0" applyAlignment="0" applyProtection="0"/>
    <xf numFmtId="9" fontId="0" fillId="0" borderId="0" applyFon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9" applyNumberFormat="0" applyFill="0" applyAlignment="0" applyProtection="0"/>
    <xf numFmtId="0" fontId="121" fillId="0" borderId="0" applyNumberFormat="0" applyFill="0" applyBorder="0" applyAlignment="0" applyProtection="0"/>
  </cellStyleXfs>
  <cellXfs count="468">
    <xf numFmtId="0" fontId="0" fillId="0" borderId="0" xfId="0" applyAlignment="1">
      <alignment/>
    </xf>
    <xf numFmtId="0" fontId="2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177" fontId="8" fillId="0" borderId="10" xfId="42" applyNumberFormat="1" applyFont="1" applyBorder="1" applyAlignment="1">
      <alignment horizontal="center"/>
    </xf>
    <xf numFmtId="177" fontId="8" fillId="0" borderId="11" xfId="42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177" fontId="10" fillId="0" borderId="10" xfId="42" applyNumberFormat="1" applyFont="1" applyFill="1" applyBorder="1" applyAlignment="1">
      <alignment horizontal="right"/>
    </xf>
    <xf numFmtId="177" fontId="10" fillId="0" borderId="10" xfId="0" applyNumberFormat="1" applyFont="1" applyFill="1" applyBorder="1" applyAlignment="1">
      <alignment/>
    </xf>
    <xf numFmtId="177" fontId="10" fillId="0" borderId="11" xfId="0" applyNumberFormat="1" applyFont="1" applyFill="1" applyBorder="1" applyAlignment="1">
      <alignment/>
    </xf>
    <xf numFmtId="0" fontId="8" fillId="0" borderId="12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176" fontId="0" fillId="0" borderId="13" xfId="42" applyNumberFormat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7" fillId="0" borderId="13" xfId="0" applyFont="1" applyBorder="1" applyAlignment="1">
      <alignment/>
    </xf>
    <xf numFmtId="177" fontId="8" fillId="0" borderId="13" xfId="42" applyNumberFormat="1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177" fontId="9" fillId="0" borderId="16" xfId="0" applyNumberFormat="1" applyFont="1" applyBorder="1" applyAlignment="1">
      <alignment/>
    </xf>
    <xf numFmtId="177" fontId="9" fillId="0" borderId="16" xfId="0" applyNumberFormat="1" applyFont="1" applyFill="1" applyBorder="1" applyAlignment="1">
      <alignment/>
    </xf>
    <xf numFmtId="0" fontId="10" fillId="0" borderId="16" xfId="0" applyFont="1" applyBorder="1" applyAlignment="1">
      <alignment horizontal="center"/>
    </xf>
    <xf numFmtId="0" fontId="9" fillId="0" borderId="16" xfId="0" applyFont="1" applyBorder="1" applyAlignment="1">
      <alignment/>
    </xf>
    <xf numFmtId="177" fontId="10" fillId="0" borderId="16" xfId="42" applyNumberFormat="1" applyFont="1" applyFill="1" applyBorder="1" applyAlignment="1">
      <alignment horizontal="right"/>
    </xf>
    <xf numFmtId="0" fontId="6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Border="1" applyAlignment="1">
      <alignment horizontal="center" vertical="top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13" xfId="0" applyFont="1" applyBorder="1" applyAlignment="1">
      <alignment horizontal="center"/>
    </xf>
    <xf numFmtId="0" fontId="11" fillId="0" borderId="16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13" fillId="0" borderId="18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3" fontId="15" fillId="0" borderId="0" xfId="0" applyNumberFormat="1" applyFont="1" applyAlignment="1">
      <alignment horizontal="center"/>
    </xf>
    <xf numFmtId="3" fontId="13" fillId="0" borderId="18" xfId="0" applyNumberFormat="1" applyFont="1" applyBorder="1" applyAlignment="1">
      <alignment horizontal="center" vertical="center" wrapText="1"/>
    </xf>
    <xf numFmtId="3" fontId="6" fillId="0" borderId="13" xfId="42" applyNumberFormat="1" applyFont="1" applyBorder="1" applyAlignment="1">
      <alignment horizontal="center"/>
    </xf>
    <xf numFmtId="3" fontId="8" fillId="0" borderId="13" xfId="42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8" fillId="0" borderId="0" xfId="42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14" fillId="0" borderId="13" xfId="0" applyFont="1" applyBorder="1" applyAlignment="1">
      <alignment/>
    </xf>
    <xf numFmtId="0" fontId="18" fillId="0" borderId="13" xfId="0" applyFont="1" applyBorder="1" applyAlignment="1">
      <alignment horizontal="center"/>
    </xf>
    <xf numFmtId="3" fontId="18" fillId="0" borderId="13" xfId="42" applyNumberFormat="1" applyFont="1" applyBorder="1" applyAlignment="1">
      <alignment horizontal="center"/>
    </xf>
    <xf numFmtId="3" fontId="18" fillId="0" borderId="13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3" fontId="16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1" fillId="0" borderId="0" xfId="0" applyFont="1" applyAlignment="1">
      <alignment/>
    </xf>
    <xf numFmtId="0" fontId="21" fillId="0" borderId="13" xfId="0" applyFont="1" applyBorder="1" applyAlignment="1">
      <alignment horizontal="center"/>
    </xf>
    <xf numFmtId="0" fontId="21" fillId="0" borderId="13" xfId="0" applyFont="1" applyBorder="1" applyAlignment="1">
      <alignment/>
    </xf>
    <xf numFmtId="3" fontId="21" fillId="0" borderId="13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3" fontId="21" fillId="0" borderId="13" xfId="0" applyNumberFormat="1" applyFont="1" applyBorder="1" applyAlignment="1">
      <alignment/>
    </xf>
    <xf numFmtId="0" fontId="23" fillId="0" borderId="13" xfId="0" applyFont="1" applyBorder="1" applyAlignment="1">
      <alignment horizontal="center"/>
    </xf>
    <xf numFmtId="3" fontId="23" fillId="0" borderId="13" xfId="0" applyNumberFormat="1" applyFont="1" applyBorder="1" applyAlignment="1">
      <alignment horizontal="center"/>
    </xf>
    <xf numFmtId="188" fontId="21" fillId="0" borderId="13" xfId="0" applyNumberFormat="1" applyFont="1" applyBorder="1" applyAlignment="1">
      <alignment/>
    </xf>
    <xf numFmtId="0" fontId="21" fillId="0" borderId="0" xfId="0" applyFont="1" applyBorder="1" applyAlignment="1">
      <alignment/>
    </xf>
    <xf numFmtId="3" fontId="21" fillId="0" borderId="0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7" xfId="0" applyFont="1" applyBorder="1" applyAlignment="1">
      <alignment/>
    </xf>
    <xf numFmtId="0" fontId="15" fillId="0" borderId="18" xfId="0" applyFont="1" applyBorder="1" applyAlignment="1">
      <alignment/>
    </xf>
    <xf numFmtId="0" fontId="15" fillId="0" borderId="21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3" fontId="21" fillId="0" borderId="16" xfId="0" applyNumberFormat="1" applyFont="1" applyBorder="1" applyAlignment="1">
      <alignment/>
    </xf>
    <xf numFmtId="3" fontId="21" fillId="0" borderId="17" xfId="0" applyNumberFormat="1" applyFont="1" applyBorder="1" applyAlignment="1">
      <alignment/>
    </xf>
    <xf numFmtId="3" fontId="24" fillId="0" borderId="18" xfId="0" applyNumberFormat="1" applyFont="1" applyBorder="1" applyAlignment="1">
      <alignment/>
    </xf>
    <xf numFmtId="3" fontId="24" fillId="0" borderId="24" xfId="0" applyNumberFormat="1" applyFont="1" applyBorder="1" applyAlignment="1">
      <alignment/>
    </xf>
    <xf numFmtId="3" fontId="24" fillId="0" borderId="13" xfId="0" applyNumberFormat="1" applyFont="1" applyBorder="1" applyAlignment="1">
      <alignment/>
    </xf>
    <xf numFmtId="0" fontId="0" fillId="0" borderId="25" xfId="0" applyFont="1" applyBorder="1" applyAlignment="1">
      <alignment horizontal="center" vertical="top"/>
    </xf>
    <xf numFmtId="0" fontId="14" fillId="0" borderId="25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3" fontId="14" fillId="0" borderId="25" xfId="42" applyNumberFormat="1" applyFont="1" applyBorder="1" applyAlignment="1">
      <alignment horizontal="center"/>
    </xf>
    <xf numFmtId="3" fontId="25" fillId="0" borderId="13" xfId="0" applyNumberFormat="1" applyFont="1" applyBorder="1" applyAlignment="1">
      <alignment/>
    </xf>
    <xf numFmtId="0" fontId="24" fillId="0" borderId="13" xfId="0" applyFont="1" applyBorder="1" applyAlignment="1">
      <alignment/>
    </xf>
    <xf numFmtId="4" fontId="21" fillId="0" borderId="0" xfId="0" applyNumberFormat="1" applyFont="1" applyAlignment="1">
      <alignment/>
    </xf>
    <xf numFmtId="0" fontId="1" fillId="0" borderId="19" xfId="0" applyFont="1" applyBorder="1" applyAlignment="1">
      <alignment horizontal="center" vertical="top" wrapText="1"/>
    </xf>
    <xf numFmtId="0" fontId="16" fillId="0" borderId="0" xfId="0" applyFont="1" applyAlignment="1">
      <alignment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2" fillId="0" borderId="26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horizontal="center" vertical="top"/>
    </xf>
    <xf numFmtId="3" fontId="2" fillId="0" borderId="19" xfId="42" applyNumberFormat="1" applyFont="1" applyBorder="1" applyAlignment="1">
      <alignment horizontal="center"/>
    </xf>
    <xf numFmtId="0" fontId="2" fillId="0" borderId="19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top"/>
    </xf>
    <xf numFmtId="0" fontId="2" fillId="0" borderId="26" xfId="0" applyFont="1" applyBorder="1" applyAlignment="1">
      <alignment horizontal="center"/>
    </xf>
    <xf numFmtId="0" fontId="1" fillId="0" borderId="0" xfId="0" applyFont="1" applyAlignment="1">
      <alignment/>
    </xf>
    <xf numFmtId="0" fontId="23" fillId="0" borderId="13" xfId="0" applyFont="1" applyBorder="1" applyAlignment="1">
      <alignment/>
    </xf>
    <xf numFmtId="0" fontId="2" fillId="0" borderId="0" xfId="0" applyFont="1" applyAlignment="1">
      <alignment wrapText="1"/>
    </xf>
    <xf numFmtId="3" fontId="0" fillId="0" borderId="0" xfId="0" applyNumberFormat="1" applyFont="1" applyAlignment="1">
      <alignment/>
    </xf>
    <xf numFmtId="3" fontId="2" fillId="0" borderId="19" xfId="42" applyNumberFormat="1" applyFont="1" applyBorder="1" applyAlignment="1">
      <alignment horizontal="right"/>
    </xf>
    <xf numFmtId="3" fontId="0" fillId="0" borderId="26" xfId="0" applyNumberFormat="1" applyBorder="1" applyAlignment="1">
      <alignment horizontal="right"/>
    </xf>
    <xf numFmtId="3" fontId="2" fillId="0" borderId="0" xfId="0" applyNumberFormat="1" applyFont="1" applyAlignment="1">
      <alignment/>
    </xf>
    <xf numFmtId="179" fontId="21" fillId="0" borderId="0" xfId="0" applyNumberFormat="1" applyFont="1" applyAlignment="1">
      <alignment/>
    </xf>
    <xf numFmtId="0" fontId="30" fillId="0" borderId="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26" fillId="33" borderId="27" xfId="0" applyFont="1" applyFill="1" applyBorder="1" applyAlignment="1">
      <alignment horizontal="center" vertical="center" wrapText="1"/>
    </xf>
    <xf numFmtId="3" fontId="26" fillId="33" borderId="27" xfId="0" applyNumberFormat="1" applyFont="1" applyFill="1" applyBorder="1" applyAlignment="1">
      <alignment horizontal="center" vertical="center" wrapText="1"/>
    </xf>
    <xf numFmtId="0" fontId="26" fillId="33" borderId="28" xfId="0" applyFont="1" applyFill="1" applyBorder="1" applyAlignment="1">
      <alignment horizontal="center" vertical="center" wrapText="1"/>
    </xf>
    <xf numFmtId="0" fontId="26" fillId="33" borderId="28" xfId="0" applyFont="1" applyFill="1" applyBorder="1" applyAlignment="1">
      <alignment/>
    </xf>
    <xf numFmtId="0" fontId="30" fillId="33" borderId="28" xfId="0" applyFont="1" applyFill="1" applyBorder="1" applyAlignment="1">
      <alignment horizontal="center"/>
    </xf>
    <xf numFmtId="3" fontId="30" fillId="33" borderId="28" xfId="0" applyNumberFormat="1" applyFont="1" applyFill="1" applyBorder="1" applyAlignment="1">
      <alignment vertical="center" wrapText="1"/>
    </xf>
    <xf numFmtId="0" fontId="30" fillId="33" borderId="28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wrapText="1"/>
    </xf>
    <xf numFmtId="0" fontId="40" fillId="33" borderId="28" xfId="0" applyFont="1" applyFill="1" applyBorder="1" applyAlignment="1">
      <alignment horizontal="center"/>
    </xf>
    <xf numFmtId="3" fontId="30" fillId="33" borderId="28" xfId="0" applyNumberFormat="1" applyFont="1" applyFill="1" applyBorder="1" applyAlignment="1">
      <alignment horizontal="right" vertical="top" wrapText="1"/>
    </xf>
    <xf numFmtId="0" fontId="30" fillId="33" borderId="28" xfId="0" applyFont="1" applyFill="1" applyBorder="1" applyAlignment="1">
      <alignment wrapText="1"/>
    </xf>
    <xf numFmtId="0" fontId="26" fillId="33" borderId="28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/>
    </xf>
    <xf numFmtId="192" fontId="30" fillId="33" borderId="28" xfId="0" applyNumberFormat="1" applyFont="1" applyFill="1" applyBorder="1" applyAlignment="1">
      <alignment horizontal="right"/>
    </xf>
    <xf numFmtId="176" fontId="30" fillId="33" borderId="28" xfId="0" applyNumberFormat="1" applyFont="1" applyFill="1" applyBorder="1" applyAlignment="1">
      <alignment vertical="center" wrapText="1"/>
    </xf>
    <xf numFmtId="0" fontId="30" fillId="33" borderId="28" xfId="0" applyFont="1" applyFill="1" applyBorder="1" applyAlignment="1">
      <alignment/>
    </xf>
    <xf numFmtId="3" fontId="30" fillId="33" borderId="28" xfId="0" applyNumberFormat="1" applyFont="1" applyFill="1" applyBorder="1" applyAlignment="1">
      <alignment horizontal="right"/>
    </xf>
    <xf numFmtId="0" fontId="35" fillId="33" borderId="28" xfId="0" applyFont="1" applyFill="1" applyBorder="1" applyAlignment="1">
      <alignment/>
    </xf>
    <xf numFmtId="0" fontId="35" fillId="33" borderId="28" xfId="0" applyFont="1" applyFill="1" applyBorder="1" applyAlignment="1">
      <alignment horizontal="center" vertical="center"/>
    </xf>
    <xf numFmtId="3" fontId="30" fillId="33" borderId="28" xfId="42" applyNumberFormat="1" applyFont="1" applyFill="1" applyBorder="1" applyAlignment="1">
      <alignment horizontal="right"/>
    </xf>
    <xf numFmtId="0" fontId="35" fillId="33" borderId="28" xfId="0" applyFont="1" applyFill="1" applyBorder="1" applyAlignment="1">
      <alignment horizontal="center"/>
    </xf>
    <xf numFmtId="3" fontId="35" fillId="33" borderId="28" xfId="42" applyNumberFormat="1" applyFont="1" applyFill="1" applyBorder="1" applyAlignment="1">
      <alignment horizontal="right"/>
    </xf>
    <xf numFmtId="0" fontId="26" fillId="33" borderId="28" xfId="0" applyFont="1" applyFill="1" applyBorder="1" applyAlignment="1">
      <alignment horizontal="center"/>
    </xf>
    <xf numFmtId="3" fontId="26" fillId="33" borderId="28" xfId="42" applyNumberFormat="1" applyFont="1" applyFill="1" applyBorder="1" applyAlignment="1">
      <alignment horizontal="right"/>
    </xf>
    <xf numFmtId="0" fontId="26" fillId="33" borderId="28" xfId="0" applyFont="1" applyFill="1" applyBorder="1" applyAlignment="1">
      <alignment wrapText="1"/>
    </xf>
    <xf numFmtId="0" fontId="40" fillId="33" borderId="28" xfId="0" applyFont="1" applyFill="1" applyBorder="1" applyAlignment="1">
      <alignment horizontal="center" vertical="center"/>
    </xf>
    <xf numFmtId="3" fontId="26" fillId="33" borderId="28" xfId="0" applyNumberFormat="1" applyFont="1" applyFill="1" applyBorder="1" applyAlignment="1">
      <alignment vertical="center" wrapText="1"/>
    </xf>
    <xf numFmtId="0" fontId="40" fillId="33" borderId="28" xfId="67" applyFont="1" applyFill="1" applyBorder="1" applyAlignment="1">
      <alignment horizontal="center" vertical="center"/>
      <protection/>
    </xf>
    <xf numFmtId="0" fontId="36" fillId="33" borderId="28" xfId="67" applyFont="1" applyFill="1" applyBorder="1">
      <alignment/>
      <protection/>
    </xf>
    <xf numFmtId="0" fontId="30" fillId="33" borderId="28" xfId="67" applyFont="1" applyFill="1" applyBorder="1" applyAlignment="1">
      <alignment horizontal="center"/>
      <protection/>
    </xf>
    <xf numFmtId="3" fontId="30" fillId="33" borderId="28" xfId="67" applyNumberFormat="1" applyFont="1" applyFill="1" applyBorder="1" applyAlignment="1">
      <alignment horizontal="right"/>
      <protection/>
    </xf>
    <xf numFmtId="0" fontId="30" fillId="33" borderId="28" xfId="67" applyFont="1" applyFill="1" applyBorder="1">
      <alignment/>
      <protection/>
    </xf>
    <xf numFmtId="0" fontId="26" fillId="33" borderId="28" xfId="67" applyFont="1" applyFill="1" applyBorder="1" applyAlignment="1">
      <alignment horizontal="center" vertical="center"/>
      <protection/>
    </xf>
    <xf numFmtId="0" fontId="26" fillId="33" borderId="28" xfId="67" applyFont="1" applyFill="1" applyBorder="1">
      <alignment/>
      <protection/>
    </xf>
    <xf numFmtId="0" fontId="41" fillId="33" borderId="28" xfId="67" applyFont="1" applyFill="1" applyBorder="1" applyAlignment="1">
      <alignment horizontal="center" vertical="center"/>
      <protection/>
    </xf>
    <xf numFmtId="0" fontId="35" fillId="33" borderId="28" xfId="67" applyFont="1" applyFill="1" applyBorder="1">
      <alignment/>
      <protection/>
    </xf>
    <xf numFmtId="0" fontId="30" fillId="33" borderId="28" xfId="0" applyFont="1" applyFill="1" applyBorder="1" applyAlignment="1">
      <alignment horizontal="left" vertical="center" wrapText="1"/>
    </xf>
    <xf numFmtId="0" fontId="35" fillId="33" borderId="28" xfId="0" applyFont="1" applyFill="1" applyBorder="1" applyAlignment="1">
      <alignment/>
    </xf>
    <xf numFmtId="0" fontId="26" fillId="33" borderId="28" xfId="0" applyFont="1" applyFill="1" applyBorder="1" applyAlignment="1">
      <alignment vertical="center" wrapText="1"/>
    </xf>
    <xf numFmtId="0" fontId="35" fillId="33" borderId="28" xfId="0" applyFont="1" applyFill="1" applyBorder="1" applyAlignment="1">
      <alignment horizontal="left"/>
    </xf>
    <xf numFmtId="0" fontId="36" fillId="33" borderId="28" xfId="0" applyFont="1" applyFill="1" applyBorder="1" applyAlignment="1">
      <alignment horizontal="center"/>
    </xf>
    <xf numFmtId="49" fontId="30" fillId="33" borderId="28" xfId="0" applyNumberFormat="1" applyFont="1" applyFill="1" applyBorder="1" applyAlignment="1">
      <alignment wrapText="1"/>
    </xf>
    <xf numFmtId="49" fontId="36" fillId="33" borderId="28" xfId="0" applyNumberFormat="1" applyFont="1" applyFill="1" applyBorder="1" applyAlignment="1">
      <alignment wrapText="1"/>
    </xf>
    <xf numFmtId="0" fontId="26" fillId="33" borderId="28" xfId="0" applyFont="1" applyFill="1" applyBorder="1" applyAlignment="1">
      <alignment horizontal="left" wrapText="1"/>
    </xf>
    <xf numFmtId="0" fontId="30" fillId="33" borderId="28" xfId="0" applyFont="1" applyFill="1" applyBorder="1" applyAlignment="1">
      <alignment horizontal="left" wrapText="1"/>
    </xf>
    <xf numFmtId="0" fontId="36" fillId="33" borderId="28" xfId="0" applyFont="1" applyFill="1" applyBorder="1" applyAlignment="1">
      <alignment horizontal="left" vertical="center" wrapText="1"/>
    </xf>
    <xf numFmtId="3" fontId="36" fillId="33" borderId="28" xfId="0" applyNumberFormat="1" applyFont="1" applyFill="1" applyBorder="1" applyAlignment="1">
      <alignment vertical="center" wrapText="1"/>
    </xf>
    <xf numFmtId="49" fontId="35" fillId="33" borderId="28" xfId="0" applyNumberFormat="1" applyFont="1" applyFill="1" applyBorder="1" applyAlignment="1">
      <alignment wrapText="1"/>
    </xf>
    <xf numFmtId="49" fontId="36" fillId="33" borderId="28" xfId="0" applyNumberFormat="1" applyFont="1" applyFill="1" applyBorder="1" applyAlignment="1">
      <alignment/>
    </xf>
    <xf numFmtId="0" fontId="35" fillId="0" borderId="28" xfId="0" applyFont="1" applyFill="1" applyBorder="1" applyAlignment="1">
      <alignment horizontal="center" vertical="center"/>
    </xf>
    <xf numFmtId="0" fontId="36" fillId="0" borderId="28" xfId="0" applyFont="1" applyFill="1" applyBorder="1" applyAlignment="1">
      <alignment wrapText="1"/>
    </xf>
    <xf numFmtId="0" fontId="30" fillId="0" borderId="28" xfId="0" applyFont="1" applyFill="1" applyBorder="1" applyAlignment="1">
      <alignment horizontal="center"/>
    </xf>
    <xf numFmtId="3" fontId="30" fillId="0" borderId="28" xfId="0" applyNumberFormat="1" applyFont="1" applyFill="1" applyBorder="1" applyAlignment="1">
      <alignment vertical="center" wrapText="1"/>
    </xf>
    <xf numFmtId="0" fontId="26" fillId="0" borderId="28" xfId="0" applyFont="1" applyFill="1" applyBorder="1" applyAlignment="1">
      <alignment horizontal="center" vertical="center"/>
    </xf>
    <xf numFmtId="0" fontId="30" fillId="0" borderId="28" xfId="0" applyFont="1" applyFill="1" applyBorder="1" applyAlignment="1">
      <alignment wrapText="1"/>
    </xf>
    <xf numFmtId="0" fontId="26" fillId="0" borderId="28" xfId="0" applyFont="1" applyFill="1" applyBorder="1" applyAlignment="1">
      <alignment wrapText="1"/>
    </xf>
    <xf numFmtId="0" fontId="35" fillId="0" borderId="28" xfId="0" applyFont="1" applyFill="1" applyBorder="1" applyAlignment="1">
      <alignment wrapText="1"/>
    </xf>
    <xf numFmtId="0" fontId="30" fillId="0" borderId="28" xfId="0" applyFont="1" applyFill="1" applyBorder="1" applyAlignment="1">
      <alignment horizontal="center" vertical="center"/>
    </xf>
    <xf numFmtId="0" fontId="36" fillId="0" borderId="28" xfId="0" applyFont="1" applyFill="1" applyBorder="1" applyAlignment="1">
      <alignment horizontal="center" vertical="center"/>
    </xf>
    <xf numFmtId="0" fontId="41" fillId="33" borderId="28" xfId="0" applyFont="1" applyFill="1" applyBorder="1" applyAlignment="1">
      <alignment horizontal="center" vertical="center"/>
    </xf>
    <xf numFmtId="0" fontId="30" fillId="33" borderId="28" xfId="0" applyFont="1" applyFill="1" applyBorder="1" applyAlignment="1">
      <alignment horizontal="center" wrapText="1"/>
    </xf>
    <xf numFmtId="192" fontId="35" fillId="33" borderId="28" xfId="0" applyNumberFormat="1" applyFont="1" applyFill="1" applyBorder="1" applyAlignment="1">
      <alignment horizontal="right"/>
    </xf>
    <xf numFmtId="0" fontId="26" fillId="33" borderId="28" xfId="0" applyFont="1" applyFill="1" applyBorder="1" applyAlignment="1">
      <alignment horizontal="center" wrapText="1"/>
    </xf>
    <xf numFmtId="3" fontId="37" fillId="33" borderId="28" xfId="0" applyNumberFormat="1" applyFont="1" applyFill="1" applyBorder="1" applyAlignment="1">
      <alignment horizontal="center" wrapText="1"/>
    </xf>
    <xf numFmtId="0" fontId="30" fillId="33" borderId="28" xfId="0" applyFont="1" applyFill="1" applyBorder="1" applyAlignment="1">
      <alignment vertical="center"/>
    </xf>
    <xf numFmtId="176" fontId="30" fillId="33" borderId="28" xfId="0" applyNumberFormat="1" applyFont="1" applyFill="1" applyBorder="1" applyAlignment="1">
      <alignment horizontal="right" wrapText="1"/>
    </xf>
    <xf numFmtId="3" fontId="26" fillId="33" borderId="28" xfId="0" applyNumberFormat="1" applyFont="1" applyFill="1" applyBorder="1" applyAlignment="1">
      <alignment horizontal="right" wrapText="1"/>
    </xf>
    <xf numFmtId="3" fontId="30" fillId="33" borderId="28" xfId="0" applyNumberFormat="1" applyFont="1" applyFill="1" applyBorder="1" applyAlignment="1">
      <alignment horizontal="right" wrapText="1"/>
    </xf>
    <xf numFmtId="0" fontId="36" fillId="33" borderId="28" xfId="0" applyFont="1" applyFill="1" applyBorder="1" applyAlignment="1">
      <alignment vertical="center"/>
    </xf>
    <xf numFmtId="0" fontId="30" fillId="33" borderId="28" xfId="0" applyFont="1" applyFill="1" applyBorder="1" applyAlignment="1">
      <alignment horizontal="right" wrapText="1"/>
    </xf>
    <xf numFmtId="0" fontId="26" fillId="33" borderId="28" xfId="0" applyFont="1" applyFill="1" applyBorder="1" applyAlignment="1">
      <alignment horizontal="right" wrapText="1"/>
    </xf>
    <xf numFmtId="0" fontId="36" fillId="33" borderId="28" xfId="0" applyFont="1" applyFill="1" applyBorder="1" applyAlignment="1">
      <alignment horizontal="center" wrapText="1"/>
    </xf>
    <xf numFmtId="0" fontId="36" fillId="33" borderId="28" xfId="0" applyFont="1" applyFill="1" applyBorder="1" applyAlignment="1">
      <alignment horizontal="right" wrapText="1"/>
    </xf>
    <xf numFmtId="3" fontId="36" fillId="33" borderId="28" xfId="0" applyNumberFormat="1" applyFont="1" applyFill="1" applyBorder="1" applyAlignment="1">
      <alignment horizontal="right" wrapText="1"/>
    </xf>
    <xf numFmtId="3" fontId="36" fillId="33" borderId="28" xfId="0" applyNumberFormat="1" applyFont="1" applyFill="1" applyBorder="1" applyAlignment="1">
      <alignment horizontal="left" wrapText="1"/>
    </xf>
    <xf numFmtId="0" fontId="36" fillId="33" borderId="28" xfId="0" applyFont="1" applyFill="1" applyBorder="1" applyAlignment="1">
      <alignment horizontal="center" vertical="center" wrapText="1"/>
    </xf>
    <xf numFmtId="176" fontId="30" fillId="33" borderId="28" xfId="0" applyNumberFormat="1" applyFont="1" applyFill="1" applyBorder="1" applyAlignment="1">
      <alignment wrapText="1"/>
    </xf>
    <xf numFmtId="0" fontId="35" fillId="33" borderId="28" xfId="0" applyFont="1" applyFill="1" applyBorder="1" applyAlignment="1">
      <alignment wrapText="1"/>
    </xf>
    <xf numFmtId="0" fontId="36" fillId="33" borderId="28" xfId="0" applyFont="1" applyFill="1" applyBorder="1" applyAlignment="1">
      <alignment vertical="center" wrapText="1"/>
    </xf>
    <xf numFmtId="2" fontId="30" fillId="33" borderId="28" xfId="0" applyNumberFormat="1" applyFont="1" applyFill="1" applyBorder="1" applyAlignment="1">
      <alignment wrapText="1"/>
    </xf>
    <xf numFmtId="3" fontId="30" fillId="33" borderId="28" xfId="0" applyNumberFormat="1" applyFont="1" applyFill="1" applyBorder="1" applyAlignment="1">
      <alignment horizontal="center" wrapText="1"/>
    </xf>
    <xf numFmtId="2" fontId="36" fillId="33" borderId="28" xfId="0" applyNumberFormat="1" applyFont="1" applyFill="1" applyBorder="1" applyAlignment="1">
      <alignment wrapText="1"/>
    </xf>
    <xf numFmtId="0" fontId="37" fillId="33" borderId="28" xfId="0" applyFont="1" applyFill="1" applyBorder="1" applyAlignment="1">
      <alignment horizontal="center" vertical="center"/>
    </xf>
    <xf numFmtId="0" fontId="36" fillId="33" borderId="28" xfId="68" applyFont="1" applyFill="1" applyBorder="1" applyAlignment="1">
      <alignment/>
      <protection/>
    </xf>
    <xf numFmtId="0" fontId="26" fillId="33" borderId="28" xfId="68" applyFont="1" applyFill="1" applyBorder="1">
      <alignment/>
      <protection/>
    </xf>
    <xf numFmtId="0" fontId="26" fillId="33" borderId="28" xfId="68" applyFont="1" applyFill="1" applyBorder="1" applyAlignment="1">
      <alignment horizontal="right"/>
      <protection/>
    </xf>
    <xf numFmtId="0" fontId="26" fillId="33" borderId="28" xfId="68" applyFont="1" applyFill="1" applyBorder="1" applyAlignment="1">
      <alignment horizontal="center"/>
      <protection/>
    </xf>
    <xf numFmtId="0" fontId="30" fillId="33" borderId="28" xfId="68" applyFont="1" applyFill="1" applyBorder="1">
      <alignment/>
      <protection/>
    </xf>
    <xf numFmtId="0" fontId="30" fillId="33" borderId="28" xfId="68" applyFont="1" applyFill="1" applyBorder="1" applyAlignment="1">
      <alignment horizontal="center"/>
      <protection/>
    </xf>
    <xf numFmtId="176" fontId="30" fillId="33" borderId="28" xfId="68" applyNumberFormat="1" applyFont="1" applyFill="1" applyBorder="1" applyAlignment="1">
      <alignment horizontal="right"/>
      <protection/>
    </xf>
    <xf numFmtId="0" fontId="26" fillId="33" borderId="28" xfId="68" applyFont="1" applyFill="1" applyBorder="1" applyAlignment="1">
      <alignment/>
      <protection/>
    </xf>
    <xf numFmtId="0" fontId="36" fillId="33" borderId="28" xfId="68" applyFont="1" applyFill="1" applyBorder="1" applyAlignment="1">
      <alignment wrapText="1"/>
      <protection/>
    </xf>
    <xf numFmtId="0" fontId="36" fillId="33" borderId="28" xfId="68" applyFont="1" applyFill="1" applyBorder="1" applyAlignment="1">
      <alignment vertical="center" wrapText="1"/>
      <protection/>
    </xf>
    <xf numFmtId="0" fontId="36" fillId="33" borderId="28" xfId="69" applyFont="1" applyFill="1" applyBorder="1" applyAlignment="1">
      <alignment vertical="center"/>
      <protection/>
    </xf>
    <xf numFmtId="0" fontId="26" fillId="33" borderId="28" xfId="69" applyFont="1" applyFill="1" applyBorder="1" applyAlignment="1">
      <alignment/>
      <protection/>
    </xf>
    <xf numFmtId="0" fontId="26" fillId="33" borderId="28" xfId="69" applyFont="1" applyFill="1" applyBorder="1" applyAlignment="1">
      <alignment horizontal="center"/>
      <protection/>
    </xf>
    <xf numFmtId="0" fontId="30" fillId="33" borderId="28" xfId="69" applyFont="1" applyFill="1" applyBorder="1">
      <alignment/>
      <protection/>
    </xf>
    <xf numFmtId="0" fontId="30" fillId="33" borderId="28" xfId="69" applyFont="1" applyFill="1" applyBorder="1" applyAlignment="1">
      <alignment horizontal="center"/>
      <protection/>
    </xf>
    <xf numFmtId="176" fontId="30" fillId="33" borderId="28" xfId="69" applyNumberFormat="1" applyFont="1" applyFill="1" applyBorder="1" applyAlignment="1">
      <alignment horizontal="right"/>
      <protection/>
    </xf>
    <xf numFmtId="0" fontId="36" fillId="33" borderId="28" xfId="69" applyFont="1" applyFill="1" applyBorder="1" applyAlignment="1">
      <alignment vertical="center" wrapText="1"/>
      <protection/>
    </xf>
    <xf numFmtId="0" fontId="36" fillId="33" borderId="28" xfId="69" applyFont="1" applyFill="1" applyBorder="1" applyAlignment="1">
      <alignment wrapText="1"/>
      <protection/>
    </xf>
    <xf numFmtId="0" fontId="36" fillId="33" borderId="28" xfId="69" applyFont="1" applyFill="1" applyBorder="1" applyAlignment="1">
      <alignment/>
      <protection/>
    </xf>
    <xf numFmtId="49" fontId="26" fillId="33" borderId="28" xfId="69" applyNumberFormat="1" applyFont="1" applyFill="1" applyBorder="1" applyAlignment="1">
      <alignment horizontal="center"/>
      <protection/>
    </xf>
    <xf numFmtId="0" fontId="26" fillId="33" borderId="28" xfId="69" applyFont="1" applyFill="1" applyBorder="1">
      <alignment/>
      <protection/>
    </xf>
    <xf numFmtId="3" fontId="30" fillId="33" borderId="28" xfId="69" applyNumberFormat="1" applyFont="1" applyFill="1" applyBorder="1" applyAlignment="1">
      <alignment horizontal="right"/>
      <protection/>
    </xf>
    <xf numFmtId="0" fontId="36" fillId="33" borderId="28" xfId="69" applyFont="1" applyFill="1" applyBorder="1" applyAlignment="1">
      <alignment horizontal="center" vertical="center"/>
      <protection/>
    </xf>
    <xf numFmtId="0" fontId="35" fillId="33" borderId="28" xfId="69" applyFont="1" applyFill="1" applyBorder="1">
      <alignment/>
      <protection/>
    </xf>
    <xf numFmtId="0" fontId="36" fillId="33" borderId="28" xfId="69" applyFont="1" applyFill="1" applyBorder="1">
      <alignment/>
      <protection/>
    </xf>
    <xf numFmtId="0" fontId="30" fillId="33" borderId="28" xfId="69" applyFont="1" applyFill="1" applyBorder="1" applyAlignment="1">
      <alignment horizontal="left" vertical="center" wrapText="1"/>
      <protection/>
    </xf>
    <xf numFmtId="0" fontId="30" fillId="33" borderId="28" xfId="0" applyFont="1" applyFill="1" applyBorder="1" applyAlignment="1" quotePrefix="1">
      <alignment horizontal="center"/>
    </xf>
    <xf numFmtId="49" fontId="26" fillId="33" borderId="28" xfId="0" applyNumberFormat="1" applyFont="1" applyFill="1" applyBorder="1" applyAlignment="1">
      <alignment wrapText="1"/>
    </xf>
    <xf numFmtId="49" fontId="26" fillId="33" borderId="28" xfId="0" applyNumberFormat="1" applyFont="1" applyFill="1" applyBorder="1" applyAlignment="1">
      <alignment horizontal="left" vertical="center" wrapText="1"/>
    </xf>
    <xf numFmtId="192" fontId="26" fillId="33" borderId="28" xfId="0" applyNumberFormat="1" applyFont="1" applyFill="1" applyBorder="1" applyAlignment="1">
      <alignment horizontal="right"/>
    </xf>
    <xf numFmtId="0" fontId="2" fillId="33" borderId="28" xfId="0" applyFont="1" applyFill="1" applyBorder="1" applyAlignment="1">
      <alignment horizontal="center" vertical="center" wrapText="1"/>
    </xf>
    <xf numFmtId="0" fontId="30" fillId="33" borderId="28" xfId="0" applyFont="1" applyFill="1" applyBorder="1" applyAlignment="1">
      <alignment/>
    </xf>
    <xf numFmtId="3" fontId="2" fillId="33" borderId="28" xfId="0" applyNumberFormat="1" applyFont="1" applyFill="1" applyBorder="1" applyAlignment="1">
      <alignment horizontal="right" vertical="center" wrapText="1"/>
    </xf>
    <xf numFmtId="0" fontId="2" fillId="33" borderId="28" xfId="0" applyFont="1" applyFill="1" applyBorder="1" applyAlignment="1">
      <alignment horizontal="center" vertical="center"/>
    </xf>
    <xf numFmtId="0" fontId="32" fillId="33" borderId="28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49" fontId="43" fillId="33" borderId="28" xfId="0" applyNumberFormat="1" applyFont="1" applyFill="1" applyBorder="1" applyAlignment="1">
      <alignment/>
    </xf>
    <xf numFmtId="0" fontId="2" fillId="33" borderId="28" xfId="0" applyFont="1" applyFill="1" applyBorder="1" applyAlignment="1">
      <alignment horizontal="center"/>
    </xf>
    <xf numFmtId="3" fontId="2" fillId="33" borderId="28" xfId="42" applyNumberFormat="1" applyFont="1" applyFill="1" applyBorder="1" applyAlignment="1">
      <alignment horizontal="right"/>
    </xf>
    <xf numFmtId="0" fontId="2" fillId="33" borderId="28" xfId="0" applyFont="1" applyFill="1" applyBorder="1" applyAlignment="1">
      <alignment/>
    </xf>
    <xf numFmtId="0" fontId="30" fillId="33" borderId="28" xfId="0" applyFont="1" applyFill="1" applyBorder="1" applyAlignment="1">
      <alignment horizontal="left"/>
    </xf>
    <xf numFmtId="176" fontId="30" fillId="33" borderId="28" xfId="42" applyNumberFormat="1" applyFont="1" applyFill="1" applyBorder="1" applyAlignment="1">
      <alignment horizontal="center"/>
    </xf>
    <xf numFmtId="176" fontId="30" fillId="33" borderId="28" xfId="42" applyNumberFormat="1" applyFont="1" applyFill="1" applyBorder="1" applyAlignment="1">
      <alignment horizontal="center"/>
    </xf>
    <xf numFmtId="3" fontId="36" fillId="33" borderId="28" xfId="42" applyNumberFormat="1" applyFont="1" applyFill="1" applyBorder="1" applyAlignment="1">
      <alignment horizontal="right"/>
    </xf>
    <xf numFmtId="0" fontId="2" fillId="33" borderId="29" xfId="0" applyFont="1" applyFill="1" applyBorder="1" applyAlignment="1">
      <alignment horizontal="center" vertical="center"/>
    </xf>
    <xf numFmtId="0" fontId="30" fillId="33" borderId="29" xfId="0" applyFont="1" applyFill="1" applyBorder="1" applyAlignment="1">
      <alignment/>
    </xf>
    <xf numFmtId="0" fontId="30" fillId="33" borderId="29" xfId="0" applyFont="1" applyFill="1" applyBorder="1" applyAlignment="1">
      <alignment horizontal="center"/>
    </xf>
    <xf numFmtId="3" fontId="30" fillId="33" borderId="29" xfId="42" applyNumberFormat="1" applyFont="1" applyFill="1" applyBorder="1" applyAlignment="1">
      <alignment horizontal="right"/>
    </xf>
    <xf numFmtId="0" fontId="23" fillId="0" borderId="0" xfId="0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8" fontId="0" fillId="0" borderId="0" xfId="0" applyNumberFormat="1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wrapText="1"/>
    </xf>
    <xf numFmtId="0" fontId="2" fillId="33" borderId="0" xfId="0" applyFont="1" applyFill="1" applyAlignment="1">
      <alignment horizontal="center"/>
    </xf>
    <xf numFmtId="3" fontId="2" fillId="33" borderId="0" xfId="0" applyNumberFormat="1" applyFont="1" applyFill="1" applyAlignment="1">
      <alignment horizontal="center"/>
    </xf>
    <xf numFmtId="3" fontId="2" fillId="0" borderId="0" xfId="0" applyNumberFormat="1" applyFont="1" applyFill="1" applyBorder="1" applyAlignment="1">
      <alignment horizontal="center" vertical="top" wrapText="1"/>
    </xf>
    <xf numFmtId="0" fontId="48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178" fontId="2" fillId="0" borderId="0" xfId="0" applyNumberFormat="1" applyFont="1" applyFill="1" applyAlignment="1">
      <alignment vertical="center"/>
    </xf>
    <xf numFmtId="3" fontId="2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 vertical="center"/>
    </xf>
    <xf numFmtId="178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Fill="1" applyBorder="1" applyAlignment="1">
      <alignment vertical="center" wrapText="1"/>
    </xf>
    <xf numFmtId="3" fontId="2" fillId="33" borderId="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wrapText="1"/>
    </xf>
    <xf numFmtId="3" fontId="0" fillId="33" borderId="0" xfId="0" applyNumberFormat="1" applyFont="1" applyFill="1" applyAlignment="1">
      <alignment horizontal="center"/>
    </xf>
    <xf numFmtId="178" fontId="0" fillId="33" borderId="0" xfId="0" applyNumberFormat="1" applyFont="1" applyFill="1" applyAlignment="1">
      <alignment/>
    </xf>
    <xf numFmtId="3" fontId="0" fillId="33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36" fillId="33" borderId="28" xfId="0" applyFont="1" applyFill="1" applyBorder="1" applyAlignment="1">
      <alignment horizontal="left" vertical="center"/>
    </xf>
    <xf numFmtId="0" fontId="4" fillId="33" borderId="0" xfId="0" applyFont="1" applyFill="1" applyAlignment="1">
      <alignment/>
    </xf>
    <xf numFmtId="0" fontId="0" fillId="33" borderId="28" xfId="0" applyFont="1" applyFill="1" applyBorder="1" applyAlignment="1">
      <alignment/>
    </xf>
    <xf numFmtId="0" fontId="46" fillId="33" borderId="0" xfId="0" applyFont="1" applyFill="1" applyAlignment="1">
      <alignment/>
    </xf>
    <xf numFmtId="0" fontId="53" fillId="33" borderId="0" xfId="0" applyFont="1" applyFill="1" applyAlignment="1">
      <alignment/>
    </xf>
    <xf numFmtId="0" fontId="46" fillId="33" borderId="28" xfId="0" applyFont="1" applyFill="1" applyBorder="1" applyAlignment="1">
      <alignment/>
    </xf>
    <xf numFmtId="0" fontId="1" fillId="33" borderId="0" xfId="0" applyFont="1" applyFill="1" applyAlignment="1">
      <alignment/>
    </xf>
    <xf numFmtId="0" fontId="54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3" fontId="30" fillId="33" borderId="28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0" fontId="30" fillId="0" borderId="13" xfId="0" applyFont="1" applyFill="1" applyBorder="1" applyAlignment="1">
      <alignment horizontal="center" vertical="center" wrapText="1"/>
    </xf>
    <xf numFmtId="3" fontId="26" fillId="0" borderId="13" xfId="0" applyNumberFormat="1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vertical="center" wrapText="1"/>
    </xf>
    <xf numFmtId="3" fontId="30" fillId="0" borderId="13" xfId="0" applyNumberFormat="1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wrapText="1"/>
    </xf>
    <xf numFmtId="0" fontId="30" fillId="0" borderId="13" xfId="0" applyFont="1" applyFill="1" applyBorder="1" applyAlignment="1" quotePrefix="1">
      <alignment horizontal="center" vertical="center" wrapText="1"/>
    </xf>
    <xf numFmtId="0" fontId="26" fillId="0" borderId="28" xfId="0" applyFont="1" applyFill="1" applyBorder="1" applyAlignment="1">
      <alignment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33" borderId="19" xfId="0" applyFont="1" applyFill="1" applyBorder="1" applyAlignment="1">
      <alignment horizontal="center" vertical="center"/>
    </xf>
    <xf numFmtId="0" fontId="26" fillId="33" borderId="19" xfId="0" applyFont="1" applyFill="1" applyBorder="1" applyAlignment="1">
      <alignment/>
    </xf>
    <xf numFmtId="0" fontId="30" fillId="33" borderId="19" xfId="0" applyFont="1" applyFill="1" applyBorder="1" applyAlignment="1">
      <alignment horizontal="center"/>
    </xf>
    <xf numFmtId="3" fontId="30" fillId="33" borderId="19" xfId="0" applyNumberFormat="1" applyFont="1" applyFill="1" applyBorder="1" applyAlignment="1">
      <alignment vertical="center" wrapText="1"/>
    </xf>
    <xf numFmtId="0" fontId="30" fillId="33" borderId="19" xfId="0" applyFont="1" applyFill="1" applyBorder="1" applyAlignment="1">
      <alignment horizontal="center" vertical="center"/>
    </xf>
    <xf numFmtId="0" fontId="35" fillId="33" borderId="19" xfId="0" applyFont="1" applyFill="1" applyBorder="1" applyAlignment="1">
      <alignment/>
    </xf>
    <xf numFmtId="0" fontId="36" fillId="33" borderId="19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wrapText="1"/>
    </xf>
    <xf numFmtId="0" fontId="30" fillId="33" borderId="19" xfId="0" applyFont="1" applyFill="1" applyBorder="1" applyAlignment="1">
      <alignment wrapText="1"/>
    </xf>
    <xf numFmtId="0" fontId="36" fillId="33" borderId="28" xfId="0" applyFont="1" applyFill="1" applyBorder="1" applyAlignment="1">
      <alignment horizontal="left" wrapText="1"/>
    </xf>
    <xf numFmtId="0" fontId="26" fillId="33" borderId="28" xfId="0" applyFont="1" applyFill="1" applyBorder="1" applyAlignment="1">
      <alignment horizontal="left"/>
    </xf>
    <xf numFmtId="0" fontId="26" fillId="33" borderId="28" xfId="0" applyFont="1" applyFill="1" applyBorder="1" applyAlignment="1">
      <alignment horizontal="left" vertical="center"/>
    </xf>
    <xf numFmtId="0" fontId="35" fillId="33" borderId="28" xfId="0" applyFont="1" applyFill="1" applyBorder="1" applyAlignment="1">
      <alignment horizontal="left" wrapText="1"/>
    </xf>
    <xf numFmtId="0" fontId="30" fillId="33" borderId="28" xfId="0" applyFont="1" applyFill="1" applyBorder="1" applyAlignment="1">
      <alignment horizontal="center" vertical="center" wrapText="1"/>
    </xf>
    <xf numFmtId="0" fontId="30" fillId="0" borderId="28" xfId="0" applyFont="1" applyFill="1" applyBorder="1" applyAlignment="1" quotePrefix="1">
      <alignment wrapText="1"/>
    </xf>
    <xf numFmtId="176" fontId="30" fillId="33" borderId="28" xfId="0" applyNumberFormat="1" applyFont="1" applyFill="1" applyBorder="1" applyAlignment="1">
      <alignment horizontal="right"/>
    </xf>
    <xf numFmtId="0" fontId="36" fillId="0" borderId="0" xfId="0" applyFont="1" applyAlignment="1">
      <alignment/>
    </xf>
    <xf numFmtId="0" fontId="55" fillId="33" borderId="28" xfId="0" applyFont="1" applyFill="1" applyBorder="1" applyAlignment="1">
      <alignment horizontal="center" vertical="center"/>
    </xf>
    <xf numFmtId="0" fontId="30" fillId="33" borderId="28" xfId="0" applyFont="1" applyFill="1" applyBorder="1" applyAlignment="1" quotePrefix="1">
      <alignment/>
    </xf>
    <xf numFmtId="49" fontId="30" fillId="33" borderId="28" xfId="0" applyNumberFormat="1" applyFont="1" applyFill="1" applyBorder="1" applyAlignment="1" quotePrefix="1">
      <alignment wrapText="1"/>
    </xf>
    <xf numFmtId="0" fontId="40" fillId="33" borderId="30" xfId="0" applyFont="1" applyFill="1" applyBorder="1" applyAlignment="1" quotePrefix="1">
      <alignment vertical="center" wrapText="1"/>
    </xf>
    <xf numFmtId="0" fontId="40" fillId="33" borderId="31" xfId="0" applyFont="1" applyFill="1" applyBorder="1" applyAlignment="1" quotePrefix="1">
      <alignment vertical="center" wrapText="1"/>
    </xf>
    <xf numFmtId="0" fontId="40" fillId="33" borderId="32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44" fillId="33" borderId="0" xfId="0" applyFont="1" applyFill="1" applyBorder="1" applyAlignment="1">
      <alignment wrapText="1"/>
    </xf>
    <xf numFmtId="3" fontId="0" fillId="33" borderId="0" xfId="0" applyNumberFormat="1" applyFont="1" applyFill="1" applyBorder="1" applyAlignment="1">
      <alignment horizontal="center"/>
    </xf>
    <xf numFmtId="0" fontId="47" fillId="0" borderId="13" xfId="0" applyFont="1" applyFill="1" applyBorder="1" applyAlignment="1">
      <alignment horizontal="center" vertical="top" wrapText="1"/>
    </xf>
    <xf numFmtId="0" fontId="47" fillId="0" borderId="13" xfId="0" applyFont="1" applyFill="1" applyBorder="1" applyAlignment="1">
      <alignment vertical="center" wrapText="1"/>
    </xf>
    <xf numFmtId="0" fontId="44" fillId="0" borderId="13" xfId="0" applyFont="1" applyFill="1" applyBorder="1" applyAlignment="1">
      <alignment horizontal="center" vertical="center" wrapText="1"/>
    </xf>
    <xf numFmtId="3" fontId="44" fillId="33" borderId="13" xfId="0" applyNumberFormat="1" applyFont="1" applyFill="1" applyBorder="1" applyAlignment="1">
      <alignment vertical="center" wrapText="1"/>
    </xf>
    <xf numFmtId="0" fontId="44" fillId="0" borderId="13" xfId="0" applyFont="1" applyFill="1" applyBorder="1" applyAlignment="1">
      <alignment horizontal="center" vertical="top" wrapText="1"/>
    </xf>
    <xf numFmtId="0" fontId="49" fillId="0" borderId="13" xfId="0" applyFont="1" applyFill="1" applyBorder="1" applyAlignment="1">
      <alignment vertical="center" wrapText="1"/>
    </xf>
    <xf numFmtId="0" fontId="44" fillId="0" borderId="13" xfId="0" applyFont="1" applyFill="1" applyBorder="1" applyAlignment="1">
      <alignment vertical="center" wrapText="1"/>
    </xf>
    <xf numFmtId="3" fontId="44" fillId="0" borderId="13" xfId="0" applyNumberFormat="1" applyFont="1" applyFill="1" applyBorder="1" applyAlignment="1">
      <alignment vertical="center" wrapText="1"/>
    </xf>
    <xf numFmtId="49" fontId="44" fillId="0" borderId="13" xfId="0" applyNumberFormat="1" applyFont="1" applyFill="1" applyBorder="1" applyAlignment="1">
      <alignment vertical="center" wrapText="1"/>
    </xf>
    <xf numFmtId="0" fontId="44" fillId="0" borderId="13" xfId="0" applyFont="1" applyFill="1" applyBorder="1" applyAlignment="1" quotePrefix="1">
      <alignment vertical="center" wrapText="1"/>
    </xf>
    <xf numFmtId="3" fontId="44" fillId="0" borderId="13" xfId="0" applyNumberFormat="1" applyFont="1" applyFill="1" applyBorder="1" applyAlignment="1">
      <alignment vertical="center"/>
    </xf>
    <xf numFmtId="0" fontId="44" fillId="0" borderId="13" xfId="0" applyFont="1" applyFill="1" applyBorder="1" applyAlignment="1" quotePrefix="1">
      <alignment horizontal="center" vertical="top" wrapText="1"/>
    </xf>
    <xf numFmtId="0" fontId="44" fillId="0" borderId="13" xfId="0" applyFont="1" applyFill="1" applyBorder="1" applyAlignment="1">
      <alignment horizontal="left" vertical="center" wrapText="1"/>
    </xf>
    <xf numFmtId="3" fontId="44" fillId="0" borderId="13" xfId="67" applyNumberFormat="1" applyFont="1" applyFill="1" applyBorder="1" applyAlignment="1">
      <alignment vertical="center" wrapText="1"/>
      <protection/>
    </xf>
    <xf numFmtId="0" fontId="47" fillId="0" borderId="13" xfId="0" applyFont="1" applyFill="1" applyBorder="1" applyAlignment="1">
      <alignment horizontal="center"/>
    </xf>
    <xf numFmtId="0" fontId="50" fillId="0" borderId="13" xfId="0" applyFont="1" applyFill="1" applyBorder="1" applyAlignment="1">
      <alignment/>
    </xf>
    <xf numFmtId="0" fontId="51" fillId="0" borderId="13" xfId="0" applyFont="1" applyFill="1" applyBorder="1" applyAlignment="1">
      <alignment horizontal="center"/>
    </xf>
    <xf numFmtId="3" fontId="44" fillId="33" borderId="13" xfId="0" applyNumberFormat="1" applyFont="1" applyFill="1" applyBorder="1" applyAlignment="1">
      <alignment horizontal="right" vertical="center" wrapText="1"/>
    </xf>
    <xf numFmtId="0" fontId="44" fillId="0" borderId="13" xfId="0" applyFont="1" applyFill="1" applyBorder="1" applyAlignment="1">
      <alignment horizontal="center"/>
    </xf>
    <xf numFmtId="0" fontId="44" fillId="0" borderId="13" xfId="0" applyFont="1" applyFill="1" applyBorder="1" applyAlignment="1">
      <alignment/>
    </xf>
    <xf numFmtId="3" fontId="44" fillId="0" borderId="13" xfId="0" applyNumberFormat="1" applyFont="1" applyFill="1" applyBorder="1" applyAlignment="1">
      <alignment horizontal="right" vertical="center" wrapText="1"/>
    </xf>
    <xf numFmtId="0" fontId="49" fillId="0" borderId="13" xfId="0" applyFont="1" applyFill="1" applyBorder="1" applyAlignment="1">
      <alignment wrapText="1"/>
    </xf>
    <xf numFmtId="0" fontId="52" fillId="0" borderId="13" xfId="0" applyFont="1" applyFill="1" applyBorder="1" applyAlignment="1">
      <alignment wrapText="1"/>
    </xf>
    <xf numFmtId="0" fontId="49" fillId="0" borderId="13" xfId="0" applyFont="1" applyFill="1" applyBorder="1" applyAlignment="1">
      <alignment/>
    </xf>
    <xf numFmtId="0" fontId="47" fillId="0" borderId="13" xfId="0" applyFont="1" applyFill="1" applyBorder="1" applyAlignment="1">
      <alignment/>
    </xf>
    <xf numFmtId="0" fontId="52" fillId="0" borderId="13" xfId="0" applyFont="1" applyFill="1" applyBorder="1" applyAlignment="1">
      <alignment/>
    </xf>
    <xf numFmtId="0" fontId="51" fillId="0" borderId="13" xfId="0" applyFont="1" applyFill="1" applyBorder="1" applyAlignment="1">
      <alignment horizontal="right"/>
    </xf>
    <xf numFmtId="0" fontId="51" fillId="0" borderId="13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wrapText="1"/>
    </xf>
    <xf numFmtId="0" fontId="0" fillId="0" borderId="13" xfId="0" applyFont="1" applyFill="1" applyBorder="1" applyAlignment="1">
      <alignment horizontal="right"/>
    </xf>
    <xf numFmtId="179" fontId="44" fillId="0" borderId="13" xfId="0" applyNumberFormat="1" applyFont="1" applyFill="1" applyBorder="1" applyAlignment="1">
      <alignment horizontal="center"/>
    </xf>
    <xf numFmtId="3" fontId="30" fillId="0" borderId="13" xfId="0" applyNumberFormat="1" applyFont="1" applyFill="1" applyBorder="1" applyAlignment="1">
      <alignment vertical="center" wrapText="1"/>
    </xf>
    <xf numFmtId="0" fontId="26" fillId="33" borderId="28" xfId="0" applyFont="1" applyFill="1" applyBorder="1" applyAlignment="1">
      <alignment horizontal="left" vertical="center" wrapText="1"/>
    </xf>
    <xf numFmtId="0" fontId="122" fillId="33" borderId="28" xfId="69" applyFont="1" applyFill="1" applyBorder="1" applyAlignment="1">
      <alignment horizontal="center"/>
      <protection/>
    </xf>
    <xf numFmtId="0" fontId="123" fillId="33" borderId="28" xfId="69" applyFont="1" applyFill="1" applyBorder="1">
      <alignment/>
      <protection/>
    </xf>
    <xf numFmtId="0" fontId="123" fillId="33" borderId="28" xfId="69" applyFont="1" applyFill="1" applyBorder="1" applyAlignment="1">
      <alignment horizontal="center"/>
      <protection/>
    </xf>
    <xf numFmtId="3" fontId="123" fillId="33" borderId="28" xfId="69" applyNumberFormat="1" applyFont="1" applyFill="1" applyBorder="1" applyAlignment="1">
      <alignment horizontal="right"/>
      <protection/>
    </xf>
    <xf numFmtId="0" fontId="124" fillId="33" borderId="28" xfId="69" applyFont="1" applyFill="1" applyBorder="1">
      <alignment/>
      <protection/>
    </xf>
    <xf numFmtId="0" fontId="123" fillId="33" borderId="28" xfId="69" applyFont="1" applyFill="1" applyBorder="1" applyAlignment="1">
      <alignment horizontal="left" vertical="center" wrapText="1"/>
      <protection/>
    </xf>
    <xf numFmtId="0" fontId="26" fillId="33" borderId="28" xfId="69" applyFont="1" applyFill="1" applyBorder="1" applyAlignment="1">
      <alignment horizontal="center" vertical="center"/>
      <protection/>
    </xf>
    <xf numFmtId="0" fontId="124" fillId="33" borderId="28" xfId="69" applyFont="1" applyFill="1" applyBorder="1" applyAlignment="1">
      <alignment horizontal="left" vertical="center" wrapText="1"/>
      <protection/>
    </xf>
    <xf numFmtId="49" fontId="123" fillId="33" borderId="28" xfId="69" applyNumberFormat="1" applyFont="1" applyFill="1" applyBorder="1" applyAlignment="1">
      <alignment horizontal="right"/>
      <protection/>
    </xf>
    <xf numFmtId="180" fontId="123" fillId="33" borderId="28" xfId="69" applyNumberFormat="1" applyFont="1" applyFill="1" applyBorder="1" applyAlignment="1">
      <alignment horizontal="right"/>
      <protection/>
    </xf>
    <xf numFmtId="49" fontId="123" fillId="33" borderId="33" xfId="69" applyNumberFormat="1" applyFont="1" applyFill="1" applyBorder="1" applyAlignment="1">
      <alignment vertical="center" wrapText="1"/>
      <protection/>
    </xf>
    <xf numFmtId="0" fontId="125" fillId="33" borderId="28" xfId="69" applyFont="1" applyFill="1" applyBorder="1" applyAlignment="1">
      <alignment horizontal="center"/>
      <protection/>
    </xf>
    <xf numFmtId="0" fontId="125" fillId="33" borderId="28" xfId="69" applyFont="1" applyFill="1" applyBorder="1" applyAlignment="1">
      <alignment horizontal="left" vertical="center" wrapText="1"/>
      <protection/>
    </xf>
    <xf numFmtId="3" fontId="44" fillId="0" borderId="19" xfId="0" applyNumberFormat="1" applyFont="1" applyFill="1" applyBorder="1" applyAlignment="1">
      <alignment vertical="center" wrapText="1"/>
    </xf>
    <xf numFmtId="3" fontId="26" fillId="0" borderId="13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3" fontId="47" fillId="33" borderId="13" xfId="0" applyNumberFormat="1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left" wrapText="1"/>
    </xf>
    <xf numFmtId="0" fontId="47" fillId="0" borderId="13" xfId="0" applyFont="1" applyFill="1" applyBorder="1" applyAlignment="1">
      <alignment horizontal="left" wrapText="1"/>
    </xf>
    <xf numFmtId="0" fontId="44" fillId="33" borderId="13" xfId="0" applyFont="1" applyFill="1" applyBorder="1" applyAlignment="1">
      <alignment horizontal="center"/>
    </xf>
    <xf numFmtId="0" fontId="44" fillId="33" borderId="13" xfId="0" applyFont="1" applyFill="1" applyBorder="1" applyAlignment="1">
      <alignment/>
    </xf>
    <xf numFmtId="0" fontId="44" fillId="0" borderId="13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/>
    </xf>
    <xf numFmtId="0" fontId="23" fillId="33" borderId="0" xfId="0" applyFont="1" applyFill="1" applyAlignment="1">
      <alignment horizontal="center"/>
    </xf>
    <xf numFmtId="0" fontId="57" fillId="33" borderId="0" xfId="0" applyFont="1" applyFill="1" applyAlignment="1">
      <alignment horizontal="center"/>
    </xf>
    <xf numFmtId="3" fontId="35" fillId="33" borderId="0" xfId="0" applyNumberFormat="1" applyFont="1" applyFill="1" applyBorder="1" applyAlignment="1">
      <alignment horizontal="right"/>
    </xf>
    <xf numFmtId="3" fontId="30" fillId="33" borderId="0" xfId="0" applyNumberFormat="1" applyFont="1" applyFill="1" applyBorder="1" applyAlignment="1">
      <alignment horizontal="right"/>
    </xf>
    <xf numFmtId="0" fontId="47" fillId="33" borderId="13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3" fontId="47" fillId="0" borderId="13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6" fillId="0" borderId="16" xfId="0" applyFont="1" applyBorder="1" applyAlignment="1">
      <alignment horizontal="left"/>
    </xf>
    <xf numFmtId="0" fontId="16" fillId="0" borderId="17" xfId="0" applyFont="1" applyBorder="1" applyAlignment="1">
      <alignment horizontal="left"/>
    </xf>
    <xf numFmtId="0" fontId="16" fillId="0" borderId="0" xfId="0" applyFont="1" applyAlignment="1">
      <alignment/>
    </xf>
    <xf numFmtId="3" fontId="13" fillId="0" borderId="18" xfId="0" applyNumberFormat="1" applyFont="1" applyBorder="1" applyAlignment="1">
      <alignment horizontal="center" vertical="center" wrapText="1"/>
    </xf>
    <xf numFmtId="3" fontId="13" fillId="0" borderId="24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6" fillId="0" borderId="18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3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3" fontId="21" fillId="0" borderId="18" xfId="0" applyNumberFormat="1" applyFont="1" applyBorder="1" applyAlignment="1">
      <alignment horizontal="center"/>
    </xf>
    <xf numFmtId="3" fontId="21" fillId="0" borderId="24" xfId="0" applyNumberFormat="1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3" fontId="21" fillId="0" borderId="13" xfId="0" applyNumberFormat="1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3" fontId="3" fillId="0" borderId="13" xfId="0" applyNumberFormat="1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22" fillId="0" borderId="36" xfId="0" applyFont="1" applyBorder="1" applyAlignment="1">
      <alignment horizontal="left"/>
    </xf>
    <xf numFmtId="3" fontId="3" fillId="0" borderId="37" xfId="0" applyNumberFormat="1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/>
    </xf>
    <xf numFmtId="0" fontId="30" fillId="33" borderId="28" xfId="67" applyFont="1" applyFill="1" applyBorder="1" applyAlignment="1">
      <alignment horizontal="center" vertical="center" wrapText="1"/>
      <protection/>
    </xf>
    <xf numFmtId="0" fontId="30" fillId="0" borderId="28" xfId="0" applyFont="1" applyFill="1" applyBorder="1" applyAlignment="1">
      <alignment horizontal="left" vertical="center" wrapText="1"/>
    </xf>
    <xf numFmtId="0" fontId="30" fillId="33" borderId="28" xfId="0" applyFont="1" applyFill="1" applyBorder="1" applyAlignment="1">
      <alignment horizontal="center" vertical="center" wrapText="1"/>
    </xf>
    <xf numFmtId="0" fontId="26" fillId="33" borderId="28" xfId="0" applyFont="1" applyFill="1" applyBorder="1" applyAlignment="1">
      <alignment horizontal="left" vertical="center" wrapText="1"/>
    </xf>
    <xf numFmtId="0" fontId="35" fillId="33" borderId="39" xfId="0" applyFont="1" applyFill="1" applyBorder="1" applyAlignment="1">
      <alignment horizontal="left" vertical="center" wrapText="1"/>
    </xf>
    <xf numFmtId="0" fontId="35" fillId="33" borderId="40" xfId="0" applyFont="1" applyFill="1" applyBorder="1" applyAlignment="1">
      <alignment horizontal="left" vertical="center" wrapText="1"/>
    </xf>
    <xf numFmtId="0" fontId="35" fillId="33" borderId="41" xfId="0" applyFont="1" applyFill="1" applyBorder="1" applyAlignment="1">
      <alignment horizontal="left" vertical="center" wrapText="1"/>
    </xf>
    <xf numFmtId="0" fontId="35" fillId="33" borderId="30" xfId="0" applyFont="1" applyFill="1" applyBorder="1" applyAlignment="1" quotePrefix="1">
      <alignment horizontal="left" vertical="center" wrapText="1"/>
    </xf>
    <xf numFmtId="0" fontId="35" fillId="33" borderId="42" xfId="0" applyFont="1" applyFill="1" applyBorder="1" applyAlignment="1" quotePrefix="1">
      <alignment horizontal="left" vertical="center" wrapText="1"/>
    </xf>
    <xf numFmtId="0" fontId="35" fillId="33" borderId="43" xfId="0" applyFont="1" applyFill="1" applyBorder="1" applyAlignment="1" quotePrefix="1">
      <alignment horizontal="left" vertical="center" wrapText="1"/>
    </xf>
    <xf numFmtId="0" fontId="35" fillId="33" borderId="31" xfId="0" applyFont="1" applyFill="1" applyBorder="1" applyAlignment="1" quotePrefix="1">
      <alignment horizontal="left" vertical="center" wrapText="1"/>
    </xf>
    <xf numFmtId="0" fontId="35" fillId="33" borderId="0" xfId="0" applyFont="1" applyFill="1" applyBorder="1" applyAlignment="1" quotePrefix="1">
      <alignment horizontal="left" vertical="center" wrapText="1"/>
    </xf>
    <xf numFmtId="0" fontId="35" fillId="33" borderId="44" xfId="0" applyFont="1" applyFill="1" applyBorder="1" applyAlignment="1" quotePrefix="1">
      <alignment horizontal="left" vertical="center" wrapText="1"/>
    </xf>
    <xf numFmtId="0" fontId="30" fillId="0" borderId="45" xfId="0" applyFont="1" applyFill="1" applyBorder="1" applyAlignment="1">
      <alignment horizontal="center" vertical="center" wrapText="1"/>
    </xf>
    <xf numFmtId="0" fontId="30" fillId="0" borderId="46" xfId="0" applyFont="1" applyFill="1" applyBorder="1" applyAlignment="1">
      <alignment horizontal="center" vertical="center" wrapText="1"/>
    </xf>
    <xf numFmtId="0" fontId="30" fillId="0" borderId="33" xfId="0" applyFont="1" applyFill="1" applyBorder="1" applyAlignment="1">
      <alignment horizontal="center" vertical="center" wrapText="1"/>
    </xf>
    <xf numFmtId="0" fontId="30" fillId="0" borderId="45" xfId="0" applyFont="1" applyFill="1" applyBorder="1" applyAlignment="1">
      <alignment horizontal="center" vertical="center"/>
    </xf>
    <xf numFmtId="0" fontId="30" fillId="0" borderId="33" xfId="0" applyFont="1" applyFill="1" applyBorder="1" applyAlignment="1">
      <alignment horizontal="center" vertical="center"/>
    </xf>
    <xf numFmtId="0" fontId="30" fillId="0" borderId="46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 horizontal="center" vertical="center" wrapText="1"/>
    </xf>
    <xf numFmtId="0" fontId="126" fillId="33" borderId="0" xfId="0" applyFont="1" applyFill="1" applyAlignment="1">
      <alignment horizontal="center" wrapText="1"/>
    </xf>
    <xf numFmtId="0" fontId="32" fillId="33" borderId="0" xfId="0" applyFont="1" applyFill="1" applyBorder="1" applyAlignment="1">
      <alignment horizontal="right"/>
    </xf>
    <xf numFmtId="0" fontId="26" fillId="33" borderId="28" xfId="0" applyFont="1" applyFill="1" applyBorder="1" applyAlignment="1">
      <alignment horizontal="left" vertical="center"/>
    </xf>
    <xf numFmtId="0" fontId="35" fillId="33" borderId="28" xfId="0" applyFont="1" applyFill="1" applyBorder="1" applyAlignment="1">
      <alignment horizontal="left" wrapText="1"/>
    </xf>
    <xf numFmtId="3" fontId="30" fillId="33" borderId="48" xfId="0" applyNumberFormat="1" applyFont="1" applyFill="1" applyBorder="1" applyAlignment="1">
      <alignment horizontal="center" vertical="center" wrapText="1"/>
    </xf>
    <xf numFmtId="3" fontId="30" fillId="33" borderId="49" xfId="0" applyNumberFormat="1" applyFont="1" applyFill="1" applyBorder="1" applyAlignment="1">
      <alignment horizontal="center" vertical="center" wrapText="1"/>
    </xf>
    <xf numFmtId="0" fontId="26" fillId="33" borderId="39" xfId="0" applyFont="1" applyFill="1" applyBorder="1" applyAlignment="1">
      <alignment horizontal="left" vertical="center" wrapText="1"/>
    </xf>
    <xf numFmtId="0" fontId="26" fillId="33" borderId="40" xfId="0" applyFont="1" applyFill="1" applyBorder="1" applyAlignment="1">
      <alignment horizontal="left" vertical="center" wrapText="1"/>
    </xf>
    <xf numFmtId="0" fontId="26" fillId="33" borderId="41" xfId="0" applyFont="1" applyFill="1" applyBorder="1" applyAlignment="1">
      <alignment horizontal="left" vertical="center" wrapText="1"/>
    </xf>
    <xf numFmtId="0" fontId="36" fillId="33" borderId="28" xfId="0" applyFont="1" applyFill="1" applyBorder="1" applyAlignment="1">
      <alignment horizontal="left" wrapText="1"/>
    </xf>
    <xf numFmtId="0" fontId="26" fillId="33" borderId="28" xfId="0" applyFont="1" applyFill="1" applyBorder="1" applyAlignment="1">
      <alignment horizontal="left"/>
    </xf>
    <xf numFmtId="0" fontId="30" fillId="33" borderId="45" xfId="0" applyFont="1" applyFill="1" applyBorder="1" applyAlignment="1">
      <alignment horizontal="center" vertical="center" wrapText="1"/>
    </xf>
    <xf numFmtId="0" fontId="30" fillId="33" borderId="46" xfId="0" applyFont="1" applyFill="1" applyBorder="1" applyAlignment="1">
      <alignment horizontal="center" vertical="center" wrapText="1"/>
    </xf>
    <xf numFmtId="0" fontId="30" fillId="33" borderId="33" xfId="0" applyFont="1" applyFill="1" applyBorder="1" applyAlignment="1">
      <alignment horizontal="center" vertical="center" wrapText="1"/>
    </xf>
    <xf numFmtId="0" fontId="26" fillId="33" borderId="45" xfId="0" applyFont="1" applyFill="1" applyBorder="1" applyAlignment="1">
      <alignment horizontal="left" vertical="center" wrapText="1"/>
    </xf>
    <xf numFmtId="0" fontId="26" fillId="33" borderId="33" xfId="0" applyFont="1" applyFill="1" applyBorder="1" applyAlignment="1">
      <alignment horizontal="left" vertical="center" wrapText="1"/>
    </xf>
    <xf numFmtId="0" fontId="123" fillId="33" borderId="45" xfId="69" applyFont="1" applyFill="1" applyBorder="1" applyAlignment="1">
      <alignment horizontal="center" vertical="center" wrapText="1"/>
      <protection/>
    </xf>
    <xf numFmtId="0" fontId="123" fillId="33" borderId="46" xfId="69" applyFont="1" applyFill="1" applyBorder="1" applyAlignment="1">
      <alignment horizontal="center" vertical="center" wrapText="1"/>
      <protection/>
    </xf>
    <xf numFmtId="0" fontId="123" fillId="33" borderId="33" xfId="69" applyFont="1" applyFill="1" applyBorder="1" applyAlignment="1">
      <alignment horizontal="center" vertical="center" wrapText="1"/>
      <protection/>
    </xf>
    <xf numFmtId="0" fontId="123" fillId="33" borderId="45" xfId="69" applyFont="1" applyFill="1" applyBorder="1" applyAlignment="1">
      <alignment horizontal="center" vertical="center"/>
      <protection/>
    </xf>
    <xf numFmtId="0" fontId="123" fillId="33" borderId="46" xfId="69" applyFont="1" applyFill="1" applyBorder="1" applyAlignment="1">
      <alignment horizontal="center" vertical="center"/>
      <protection/>
    </xf>
    <xf numFmtId="0" fontId="123" fillId="33" borderId="33" xfId="69" applyFont="1" applyFill="1" applyBorder="1" applyAlignment="1">
      <alignment horizontal="center" vertical="center"/>
      <protection/>
    </xf>
    <xf numFmtId="49" fontId="123" fillId="33" borderId="45" xfId="69" applyNumberFormat="1" applyFont="1" applyFill="1" applyBorder="1" applyAlignment="1">
      <alignment horizontal="center" vertical="center" wrapText="1"/>
      <protection/>
    </xf>
    <xf numFmtId="49" fontId="123" fillId="33" borderId="46" xfId="69" applyNumberFormat="1" applyFont="1" applyFill="1" applyBorder="1" applyAlignment="1">
      <alignment horizontal="center" vertical="center" wrapText="1"/>
      <protection/>
    </xf>
    <xf numFmtId="49" fontId="123" fillId="33" borderId="33" xfId="69" applyNumberFormat="1" applyFont="1" applyFill="1" applyBorder="1" applyAlignment="1">
      <alignment horizontal="center" vertical="center" wrapText="1"/>
      <protection/>
    </xf>
    <xf numFmtId="0" fontId="32" fillId="0" borderId="0" xfId="0" applyFont="1" applyFill="1" applyAlignment="1">
      <alignment horizontal="center" wrapText="1"/>
    </xf>
  </cellXfs>
  <cellStyles count="8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1" xfId="59"/>
    <cellStyle name="Normal 12" xfId="60"/>
    <cellStyle name="Normal 13" xfId="61"/>
    <cellStyle name="Normal 14" xfId="62"/>
    <cellStyle name="Normal 15" xfId="63"/>
    <cellStyle name="Normal 16" xfId="64"/>
    <cellStyle name="Normal 17" xfId="65"/>
    <cellStyle name="Normal 18" xfId="66"/>
    <cellStyle name="Normal 2" xfId="67"/>
    <cellStyle name="Normal 3" xfId="68"/>
    <cellStyle name="Normal 4" xfId="69"/>
    <cellStyle name="Normal 5" xfId="70"/>
    <cellStyle name="Normal 6" xfId="71"/>
    <cellStyle name="Normal 7" xfId="72"/>
    <cellStyle name="Normal 8" xfId="73"/>
    <cellStyle name="Normal 9" xfId="74"/>
    <cellStyle name="Note" xfId="75"/>
    <cellStyle name="Output" xfId="76"/>
    <cellStyle name="Percent" xfId="77"/>
    <cellStyle name="Title" xfId="78"/>
    <cellStyle name="Total" xfId="79"/>
    <cellStyle name="Warning Tex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4">
      <selection activeCell="D4" sqref="D4:D5"/>
    </sheetView>
  </sheetViews>
  <sheetFormatPr defaultColWidth="8.796875" defaultRowHeight="15"/>
  <cols>
    <col min="1" max="1" width="4.59765625" style="30" customWidth="1"/>
    <col min="2" max="2" width="14.3984375" style="30" customWidth="1"/>
    <col min="3" max="3" width="14.8984375" style="30" customWidth="1"/>
    <col min="4" max="4" width="7.3984375" style="30" customWidth="1"/>
    <col min="5" max="5" width="10.09765625" style="30" customWidth="1"/>
    <col min="6" max="6" width="10.3984375" style="30" customWidth="1"/>
    <col min="7" max="7" width="10.09765625" style="30" customWidth="1"/>
    <col min="8" max="8" width="10.59765625" style="30" customWidth="1"/>
    <col min="9" max="9" width="9.59765625" style="30" hidden="1" customWidth="1"/>
    <col min="10" max="10" width="9.59765625" style="30" customWidth="1"/>
    <col min="11" max="11" width="10.5" style="30" customWidth="1"/>
    <col min="12" max="16384" width="9" style="30" customWidth="1"/>
  </cols>
  <sheetData>
    <row r="1" spans="1:11" ht="19.5" customHeight="1">
      <c r="A1" s="375" t="s">
        <v>3209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</row>
    <row r="2" spans="1:11" ht="22.5" customHeight="1">
      <c r="A2" s="467" t="s">
        <v>3208</v>
      </c>
      <c r="B2" s="467"/>
      <c r="C2" s="467"/>
      <c r="D2" s="467"/>
      <c r="E2" s="467"/>
      <c r="F2" s="467"/>
      <c r="G2" s="467"/>
      <c r="H2" s="467"/>
      <c r="I2" s="467"/>
      <c r="J2" s="467"/>
      <c r="K2" s="467"/>
    </row>
    <row r="3" spans="1:11" ht="13.5" customHeight="1">
      <c r="A3" s="252"/>
      <c r="B3" s="252"/>
      <c r="C3" s="252"/>
      <c r="D3" s="252"/>
      <c r="E3" s="252"/>
      <c r="F3" s="252"/>
      <c r="G3" s="252"/>
      <c r="H3" s="252"/>
      <c r="I3" s="252"/>
      <c r="J3" s="252"/>
      <c r="K3" s="252"/>
    </row>
    <row r="4" spans="1:11" ht="24" customHeight="1">
      <c r="A4" s="372" t="s">
        <v>378</v>
      </c>
      <c r="B4" s="373" t="s">
        <v>698</v>
      </c>
      <c r="C4" s="373" t="s">
        <v>2574</v>
      </c>
      <c r="D4" s="374" t="s">
        <v>662</v>
      </c>
      <c r="E4" s="296" t="s">
        <v>2598</v>
      </c>
      <c r="F4" s="371" t="s">
        <v>1355</v>
      </c>
      <c r="G4" s="371"/>
      <c r="H4" s="290" t="s">
        <v>1497</v>
      </c>
      <c r="I4" s="371" t="s">
        <v>1319</v>
      </c>
      <c r="J4" s="371"/>
      <c r="K4" s="290" t="s">
        <v>699</v>
      </c>
    </row>
    <row r="5" spans="1:13" ht="92.25" customHeight="1">
      <c r="A5" s="372"/>
      <c r="B5" s="372"/>
      <c r="C5" s="373"/>
      <c r="D5" s="374"/>
      <c r="E5" s="289" t="s">
        <v>2599</v>
      </c>
      <c r="F5" s="289" t="s">
        <v>1356</v>
      </c>
      <c r="G5" s="289" t="s">
        <v>1363</v>
      </c>
      <c r="H5" s="289" t="s">
        <v>1498</v>
      </c>
      <c r="I5" s="289" t="s">
        <v>1320</v>
      </c>
      <c r="J5" s="289" t="s">
        <v>1357</v>
      </c>
      <c r="K5" s="289" t="s">
        <v>700</v>
      </c>
      <c r="M5" s="114"/>
    </row>
    <row r="6" spans="1:11" ht="26.25" customHeight="1">
      <c r="A6" s="294">
        <v>1</v>
      </c>
      <c r="B6" s="291" t="s">
        <v>1049</v>
      </c>
      <c r="C6" s="292" t="s">
        <v>2371</v>
      </c>
      <c r="D6" s="289" t="s">
        <v>484</v>
      </c>
      <c r="E6" s="292">
        <v>135000</v>
      </c>
      <c r="F6" s="292">
        <v>150000</v>
      </c>
      <c r="G6" s="292">
        <v>150000</v>
      </c>
      <c r="H6" s="292">
        <v>148000</v>
      </c>
      <c r="I6" s="292">
        <v>138000</v>
      </c>
      <c r="J6" s="292">
        <v>143000</v>
      </c>
      <c r="K6" s="292">
        <f>170000/1.1</f>
        <v>154545.45454545453</v>
      </c>
    </row>
    <row r="7" spans="1:11" ht="47.25" customHeight="1">
      <c r="A7" s="294">
        <v>2</v>
      </c>
      <c r="B7" s="291" t="s">
        <v>990</v>
      </c>
      <c r="C7" s="292" t="s">
        <v>2600</v>
      </c>
      <c r="D7" s="289" t="s">
        <v>484</v>
      </c>
      <c r="E7" s="292">
        <v>135000</v>
      </c>
      <c r="F7" s="292">
        <v>164000</v>
      </c>
      <c r="G7" s="292"/>
      <c r="H7" s="292">
        <v>158000</v>
      </c>
      <c r="I7" s="292">
        <v>155000</v>
      </c>
      <c r="J7" s="292">
        <v>156500</v>
      </c>
      <c r="K7" s="292"/>
    </row>
    <row r="8" spans="1:11" ht="44.25" customHeight="1">
      <c r="A8" s="294">
        <v>3</v>
      </c>
      <c r="B8" s="291" t="s">
        <v>54</v>
      </c>
      <c r="C8" s="292" t="s">
        <v>2600</v>
      </c>
      <c r="D8" s="289" t="s">
        <v>484</v>
      </c>
      <c r="E8" s="292">
        <v>135000</v>
      </c>
      <c r="F8" s="292">
        <v>164000</v>
      </c>
      <c r="G8" s="292">
        <v>140000</v>
      </c>
      <c r="H8" s="292">
        <v>158000</v>
      </c>
      <c r="I8" s="292">
        <v>155000</v>
      </c>
      <c r="J8" s="292">
        <v>156500</v>
      </c>
      <c r="K8" s="292"/>
    </row>
    <row r="9" spans="1:11" ht="49.5" customHeight="1">
      <c r="A9" s="294">
        <v>4</v>
      </c>
      <c r="B9" s="291" t="s">
        <v>55</v>
      </c>
      <c r="C9" s="292" t="s">
        <v>2600</v>
      </c>
      <c r="D9" s="289" t="s">
        <v>484</v>
      </c>
      <c r="E9" s="292">
        <v>135000</v>
      </c>
      <c r="F9" s="292">
        <v>164000</v>
      </c>
      <c r="G9" s="292">
        <v>150000</v>
      </c>
      <c r="H9" s="292">
        <v>158000</v>
      </c>
      <c r="I9" s="292">
        <v>155000</v>
      </c>
      <c r="J9" s="292">
        <v>156500</v>
      </c>
      <c r="K9" s="292">
        <v>154546</v>
      </c>
    </row>
    <row r="10" spans="1:11" ht="50.25" customHeight="1">
      <c r="A10" s="294">
        <v>5</v>
      </c>
      <c r="B10" s="291" t="s">
        <v>56</v>
      </c>
      <c r="C10" s="292" t="s">
        <v>2600</v>
      </c>
      <c r="D10" s="289" t="s">
        <v>484</v>
      </c>
      <c r="E10" s="292">
        <v>135000</v>
      </c>
      <c r="F10" s="292">
        <v>164000</v>
      </c>
      <c r="G10" s="292">
        <v>140000</v>
      </c>
      <c r="H10" s="292">
        <v>158000</v>
      </c>
      <c r="I10" s="292">
        <v>155000</v>
      </c>
      <c r="J10" s="292">
        <v>156500</v>
      </c>
      <c r="K10" s="292">
        <f>K9</f>
        <v>154546</v>
      </c>
    </row>
    <row r="11" spans="1:11" ht="49.5" customHeight="1">
      <c r="A11" s="294">
        <v>6</v>
      </c>
      <c r="B11" s="291" t="s">
        <v>57</v>
      </c>
      <c r="C11" s="292" t="s">
        <v>2600</v>
      </c>
      <c r="D11" s="289" t="s">
        <v>484</v>
      </c>
      <c r="E11" s="292">
        <v>135000</v>
      </c>
      <c r="F11" s="292">
        <v>164000</v>
      </c>
      <c r="G11" s="292">
        <v>140000</v>
      </c>
      <c r="H11" s="292">
        <v>158000</v>
      </c>
      <c r="I11" s="292">
        <v>155000</v>
      </c>
      <c r="J11" s="292">
        <v>156500</v>
      </c>
      <c r="K11" s="292">
        <f>K9</f>
        <v>154546</v>
      </c>
    </row>
    <row r="12" spans="1:11" ht="28.5" customHeight="1">
      <c r="A12" s="294">
        <v>7</v>
      </c>
      <c r="B12" s="291" t="s">
        <v>187</v>
      </c>
      <c r="C12" s="292" t="s">
        <v>2371</v>
      </c>
      <c r="D12" s="289" t="s">
        <v>484</v>
      </c>
      <c r="E12" s="292">
        <v>135000</v>
      </c>
      <c r="F12" s="292"/>
      <c r="G12" s="292">
        <v>140000</v>
      </c>
      <c r="H12" s="292"/>
      <c r="I12" s="292"/>
      <c r="J12" s="292"/>
      <c r="K12" s="292"/>
    </row>
    <row r="13" spans="1:11" ht="30" customHeight="1">
      <c r="A13" s="294">
        <v>8</v>
      </c>
      <c r="B13" s="291" t="s">
        <v>277</v>
      </c>
      <c r="C13" s="292" t="s">
        <v>2371</v>
      </c>
      <c r="D13" s="289" t="s">
        <v>484</v>
      </c>
      <c r="E13" s="292">
        <v>122000</v>
      </c>
      <c r="F13" s="292">
        <v>163000</v>
      </c>
      <c r="G13" s="292">
        <v>140000</v>
      </c>
      <c r="H13" s="292">
        <v>158000</v>
      </c>
      <c r="I13" s="292">
        <v>153000</v>
      </c>
      <c r="J13" s="292">
        <v>153000</v>
      </c>
      <c r="K13" s="292">
        <f>K10</f>
        <v>154546</v>
      </c>
    </row>
    <row r="14" spans="1:11" ht="36" customHeight="1">
      <c r="A14" s="294">
        <v>9</v>
      </c>
      <c r="B14" s="293" t="s">
        <v>278</v>
      </c>
      <c r="C14" s="292" t="s">
        <v>2371</v>
      </c>
      <c r="D14" s="292" t="s">
        <v>484</v>
      </c>
      <c r="E14" s="292">
        <v>110500</v>
      </c>
      <c r="F14" s="292">
        <v>141000</v>
      </c>
      <c r="G14" s="292">
        <v>110000</v>
      </c>
      <c r="H14" s="292">
        <v>110000</v>
      </c>
      <c r="I14" s="292">
        <v>125000</v>
      </c>
      <c r="J14" s="292">
        <v>129500</v>
      </c>
      <c r="K14" s="292">
        <f>130000/1.1</f>
        <v>118181.81818181818</v>
      </c>
    </row>
    <row r="15" ht="15" hidden="1"/>
    <row r="16" spans="2:10" ht="27" customHeight="1">
      <c r="B16" s="118" t="s">
        <v>2580</v>
      </c>
      <c r="C16" s="118"/>
      <c r="D16" s="119"/>
      <c r="E16" s="119"/>
      <c r="F16" s="119"/>
      <c r="G16" s="119"/>
      <c r="H16" s="119"/>
      <c r="I16" s="119"/>
      <c r="J16" s="119"/>
    </row>
  </sheetData>
  <sheetProtection/>
  <mergeCells count="8">
    <mergeCell ref="F4:G4"/>
    <mergeCell ref="I4:J4"/>
    <mergeCell ref="A4:A5"/>
    <mergeCell ref="B4:B5"/>
    <mergeCell ref="D4:D5"/>
    <mergeCell ref="A1:K1"/>
    <mergeCell ref="A2:K2"/>
    <mergeCell ref="C4:C5"/>
  </mergeCells>
  <printOptions/>
  <pageMargins left="1.25" right="0.25" top="0.5" bottom="0.5" header="0.19" footer="0.05"/>
  <pageSetup horizontalDpi="600" verticalDpi="600" orientation="landscape" paperSize="9" scale="11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E57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F36" sqref="F36"/>
    </sheetView>
  </sheetViews>
  <sheetFormatPr defaultColWidth="8.796875" defaultRowHeight="5.25" customHeight="1"/>
  <cols>
    <col min="1" max="1" width="3.19921875" style="272" customWidth="1"/>
    <col min="2" max="2" width="23" style="273" customWidth="1"/>
    <col min="3" max="3" width="12.19921875" style="273" customWidth="1"/>
    <col min="4" max="4" width="6" style="277" customWidth="1"/>
    <col min="5" max="15" width="7.59765625" style="274" customWidth="1"/>
    <col min="16" max="16" width="6.3984375" style="253" customWidth="1"/>
    <col min="17" max="17" width="7.69921875" style="255" customWidth="1"/>
    <col min="18" max="18" width="7" style="255" customWidth="1"/>
    <col min="19" max="19" width="6.8984375" style="254" customWidth="1"/>
    <col min="20" max="20" width="5.59765625" style="253" customWidth="1"/>
    <col min="21" max="21" width="5.19921875" style="253" customWidth="1"/>
    <col min="22" max="22" width="5.3984375" style="254" customWidth="1"/>
    <col min="23" max="23" width="6.3984375" style="254" customWidth="1"/>
    <col min="24" max="16384" width="9" style="254" customWidth="1"/>
  </cols>
  <sheetData>
    <row r="1" spans="1:15" ht="21.75" customHeight="1">
      <c r="A1" s="383" t="s">
        <v>2812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</row>
    <row r="2" spans="1:15" ht="16.5" customHeight="1">
      <c r="A2" s="385" t="s">
        <v>3210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</row>
    <row r="3" spans="1:15" ht="15.75">
      <c r="A3" s="256"/>
      <c r="B3" s="257"/>
      <c r="C3" s="257"/>
      <c r="D3" s="258"/>
      <c r="E3" s="259"/>
      <c r="F3" s="259"/>
      <c r="G3" s="259"/>
      <c r="H3" s="259"/>
      <c r="I3" s="259"/>
      <c r="J3" s="259"/>
      <c r="K3" s="259"/>
      <c r="L3" s="386" t="s">
        <v>58</v>
      </c>
      <c r="M3" s="387"/>
      <c r="N3" s="387"/>
      <c r="O3" s="387"/>
    </row>
    <row r="4" spans="1:239" ht="23.25" customHeight="1">
      <c r="A4" s="377" t="s">
        <v>378</v>
      </c>
      <c r="B4" s="377" t="s">
        <v>2</v>
      </c>
      <c r="C4" s="377" t="s">
        <v>2574</v>
      </c>
      <c r="D4" s="377" t="s">
        <v>662</v>
      </c>
      <c r="E4" s="388" t="s">
        <v>664</v>
      </c>
      <c r="F4" s="389"/>
      <c r="G4" s="389"/>
      <c r="H4" s="389"/>
      <c r="I4" s="389"/>
      <c r="J4" s="389"/>
      <c r="K4" s="389"/>
      <c r="L4" s="389"/>
      <c r="M4" s="389"/>
      <c r="N4" s="389"/>
      <c r="O4" s="389"/>
      <c r="P4" s="260"/>
      <c r="Q4" s="261"/>
      <c r="R4" s="261"/>
      <c r="S4" s="261"/>
      <c r="T4" s="261"/>
      <c r="U4" s="261"/>
      <c r="V4" s="261"/>
      <c r="W4" s="261"/>
      <c r="X4" s="261"/>
      <c r="Y4" s="261"/>
      <c r="Z4" s="261"/>
      <c r="AA4" s="261"/>
      <c r="AB4" s="261"/>
      <c r="AC4" s="261"/>
      <c r="AD4" s="261"/>
      <c r="AE4" s="261"/>
      <c r="AF4" s="261"/>
      <c r="AG4" s="261"/>
      <c r="AH4" s="261"/>
      <c r="AI4" s="261"/>
      <c r="AJ4" s="261"/>
      <c r="AK4" s="261"/>
      <c r="AL4" s="261"/>
      <c r="AM4" s="261"/>
      <c r="AN4" s="261"/>
      <c r="AO4" s="261"/>
      <c r="AP4" s="261"/>
      <c r="AQ4" s="261"/>
      <c r="AR4" s="261"/>
      <c r="AS4" s="261"/>
      <c r="AT4" s="261"/>
      <c r="AU4" s="261"/>
      <c r="AV4" s="261"/>
      <c r="AW4" s="261"/>
      <c r="AX4" s="261"/>
      <c r="AY4" s="261"/>
      <c r="AZ4" s="261"/>
      <c r="BA4" s="261"/>
      <c r="BB4" s="261"/>
      <c r="BC4" s="261"/>
      <c r="BD4" s="261"/>
      <c r="BE4" s="261"/>
      <c r="BF4" s="261"/>
      <c r="BG4" s="261"/>
      <c r="BH4" s="261"/>
      <c r="BI4" s="261"/>
      <c r="BJ4" s="261"/>
      <c r="BK4" s="261"/>
      <c r="BL4" s="261"/>
      <c r="BM4" s="261"/>
      <c r="BN4" s="261"/>
      <c r="BO4" s="261"/>
      <c r="BP4" s="261"/>
      <c r="BQ4" s="261"/>
      <c r="BR4" s="261"/>
      <c r="BS4" s="261"/>
      <c r="BT4" s="261"/>
      <c r="BU4" s="261"/>
      <c r="BV4" s="261"/>
      <c r="BW4" s="261"/>
      <c r="BX4" s="261"/>
      <c r="BY4" s="261"/>
      <c r="BZ4" s="261"/>
      <c r="CA4" s="261"/>
      <c r="CB4" s="261"/>
      <c r="CC4" s="261"/>
      <c r="CD4" s="261"/>
      <c r="CE4" s="261"/>
      <c r="CF4" s="261"/>
      <c r="CG4" s="261"/>
      <c r="CH4" s="261"/>
      <c r="CI4" s="261"/>
      <c r="CJ4" s="261"/>
      <c r="CK4" s="261"/>
      <c r="CL4" s="261"/>
      <c r="CM4" s="261"/>
      <c r="CN4" s="261"/>
      <c r="CO4" s="261"/>
      <c r="CP4" s="261"/>
      <c r="CQ4" s="261"/>
      <c r="CR4" s="261"/>
      <c r="CS4" s="261"/>
      <c r="CT4" s="261"/>
      <c r="CU4" s="261"/>
      <c r="CV4" s="261"/>
      <c r="CW4" s="261"/>
      <c r="CX4" s="261"/>
      <c r="CY4" s="261"/>
      <c r="CZ4" s="261"/>
      <c r="DA4" s="261"/>
      <c r="DB4" s="261"/>
      <c r="DC4" s="261"/>
      <c r="DD4" s="261"/>
      <c r="DE4" s="261"/>
      <c r="DF4" s="261"/>
      <c r="DG4" s="261"/>
      <c r="DH4" s="261"/>
      <c r="DI4" s="261"/>
      <c r="DJ4" s="261"/>
      <c r="DK4" s="261"/>
      <c r="DL4" s="261"/>
      <c r="DM4" s="261"/>
      <c r="DN4" s="261"/>
      <c r="DO4" s="261"/>
      <c r="DP4" s="261"/>
      <c r="DQ4" s="261"/>
      <c r="DR4" s="261"/>
      <c r="DS4" s="261"/>
      <c r="DT4" s="261"/>
      <c r="DU4" s="261"/>
      <c r="DV4" s="261"/>
      <c r="DW4" s="261"/>
      <c r="DX4" s="261"/>
      <c r="DY4" s="261"/>
      <c r="DZ4" s="261"/>
      <c r="EA4" s="261"/>
      <c r="EB4" s="261"/>
      <c r="EC4" s="261"/>
      <c r="ED4" s="261"/>
      <c r="EE4" s="261"/>
      <c r="EF4" s="261"/>
      <c r="EG4" s="261"/>
      <c r="EH4" s="261"/>
      <c r="EI4" s="261"/>
      <c r="EJ4" s="261"/>
      <c r="EK4" s="261"/>
      <c r="EL4" s="261"/>
      <c r="EM4" s="261"/>
      <c r="EN4" s="261"/>
      <c r="EO4" s="261"/>
      <c r="EP4" s="261"/>
      <c r="EQ4" s="261"/>
      <c r="ER4" s="261"/>
      <c r="ES4" s="262"/>
      <c r="ET4" s="262"/>
      <c r="EU4" s="262"/>
      <c r="EV4" s="262"/>
      <c r="EW4" s="262"/>
      <c r="EX4" s="262"/>
      <c r="EY4" s="262"/>
      <c r="EZ4" s="262"/>
      <c r="FA4" s="262"/>
      <c r="FB4" s="262"/>
      <c r="FC4" s="262"/>
      <c r="FD4" s="262"/>
      <c r="FE4" s="262"/>
      <c r="FF4" s="262"/>
      <c r="FG4" s="262"/>
      <c r="FH4" s="262"/>
      <c r="FI4" s="262"/>
      <c r="FJ4" s="262"/>
      <c r="FK4" s="262"/>
      <c r="FL4" s="262"/>
      <c r="FM4" s="262"/>
      <c r="FN4" s="262"/>
      <c r="FO4" s="262"/>
      <c r="FP4" s="262"/>
      <c r="FQ4" s="262"/>
      <c r="FR4" s="262"/>
      <c r="FS4" s="262"/>
      <c r="FT4" s="262"/>
      <c r="FU4" s="262"/>
      <c r="FV4" s="262"/>
      <c r="FW4" s="262"/>
      <c r="FX4" s="262"/>
      <c r="FY4" s="262"/>
      <c r="FZ4" s="262"/>
      <c r="GA4" s="262"/>
      <c r="GB4" s="262"/>
      <c r="GC4" s="262"/>
      <c r="GD4" s="262"/>
      <c r="GE4" s="262"/>
      <c r="GF4" s="262"/>
      <c r="GG4" s="262"/>
      <c r="GH4" s="262"/>
      <c r="GI4" s="262"/>
      <c r="GJ4" s="262"/>
      <c r="GK4" s="262"/>
      <c r="GL4" s="262"/>
      <c r="GM4" s="262"/>
      <c r="GN4" s="262"/>
      <c r="GO4" s="262"/>
      <c r="GP4" s="262"/>
      <c r="GQ4" s="262"/>
      <c r="GR4" s="262"/>
      <c r="GS4" s="262"/>
      <c r="GT4" s="262"/>
      <c r="GU4" s="262"/>
      <c r="GV4" s="262"/>
      <c r="GW4" s="262"/>
      <c r="GX4" s="262"/>
      <c r="GY4" s="262"/>
      <c r="GZ4" s="262"/>
      <c r="HA4" s="262"/>
      <c r="HB4" s="262"/>
      <c r="HC4" s="262"/>
      <c r="HD4" s="262"/>
      <c r="HE4" s="262"/>
      <c r="HF4" s="262"/>
      <c r="HG4" s="262"/>
      <c r="HH4" s="262"/>
      <c r="HI4" s="262"/>
      <c r="HJ4" s="262"/>
      <c r="HK4" s="262"/>
      <c r="HL4" s="262"/>
      <c r="HM4" s="262"/>
      <c r="HN4" s="262"/>
      <c r="HO4" s="262"/>
      <c r="HP4" s="262"/>
      <c r="HQ4" s="262"/>
      <c r="HR4" s="262"/>
      <c r="HS4" s="262"/>
      <c r="HT4" s="262"/>
      <c r="HU4" s="262"/>
      <c r="HV4" s="262"/>
      <c r="HW4" s="262"/>
      <c r="HX4" s="262"/>
      <c r="HY4" s="262"/>
      <c r="HZ4" s="262"/>
      <c r="IA4" s="262"/>
      <c r="IB4" s="262"/>
      <c r="IC4" s="262"/>
      <c r="ID4" s="262"/>
      <c r="IE4" s="262"/>
    </row>
    <row r="5" spans="1:239" ht="28.5" customHeight="1">
      <c r="A5" s="380"/>
      <c r="B5" s="381"/>
      <c r="C5" s="377"/>
      <c r="D5" s="380"/>
      <c r="E5" s="376" t="s">
        <v>1502</v>
      </c>
      <c r="F5" s="390" t="s">
        <v>1503</v>
      </c>
      <c r="G5" s="376" t="s">
        <v>1504</v>
      </c>
      <c r="H5" s="376" t="s">
        <v>1505</v>
      </c>
      <c r="I5" s="390" t="s">
        <v>1506</v>
      </c>
      <c r="J5" s="376" t="s">
        <v>1507</v>
      </c>
      <c r="K5" s="376" t="s">
        <v>1508</v>
      </c>
      <c r="L5" s="376" t="s">
        <v>1509</v>
      </c>
      <c r="M5" s="376" t="s">
        <v>1510</v>
      </c>
      <c r="N5" s="376" t="s">
        <v>1511</v>
      </c>
      <c r="O5" s="376" t="s">
        <v>1512</v>
      </c>
      <c r="P5" s="260"/>
      <c r="Q5" s="261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1"/>
      <c r="AH5" s="261"/>
      <c r="AI5" s="261"/>
      <c r="AJ5" s="261"/>
      <c r="AK5" s="261"/>
      <c r="AL5" s="261"/>
      <c r="AM5" s="261"/>
      <c r="AN5" s="261"/>
      <c r="AO5" s="261"/>
      <c r="AP5" s="261"/>
      <c r="AQ5" s="261"/>
      <c r="AR5" s="261"/>
      <c r="AS5" s="261"/>
      <c r="AT5" s="261"/>
      <c r="AU5" s="261"/>
      <c r="AV5" s="261"/>
      <c r="AW5" s="261"/>
      <c r="AX5" s="261"/>
      <c r="AY5" s="261"/>
      <c r="AZ5" s="261"/>
      <c r="BA5" s="261"/>
      <c r="BB5" s="261"/>
      <c r="BC5" s="261"/>
      <c r="BD5" s="261"/>
      <c r="BE5" s="261"/>
      <c r="BF5" s="261"/>
      <c r="BG5" s="261"/>
      <c r="BH5" s="261"/>
      <c r="BI5" s="261"/>
      <c r="BJ5" s="261"/>
      <c r="BK5" s="261"/>
      <c r="BL5" s="261"/>
      <c r="BM5" s="261"/>
      <c r="BN5" s="261"/>
      <c r="BO5" s="261"/>
      <c r="BP5" s="261"/>
      <c r="BQ5" s="261"/>
      <c r="BR5" s="261"/>
      <c r="BS5" s="261"/>
      <c r="BT5" s="261"/>
      <c r="BU5" s="261"/>
      <c r="BV5" s="261"/>
      <c r="BW5" s="261"/>
      <c r="BX5" s="261"/>
      <c r="BY5" s="261"/>
      <c r="BZ5" s="261"/>
      <c r="CA5" s="261"/>
      <c r="CB5" s="261"/>
      <c r="CC5" s="261"/>
      <c r="CD5" s="261"/>
      <c r="CE5" s="261"/>
      <c r="CF5" s="261"/>
      <c r="CG5" s="261"/>
      <c r="CH5" s="261"/>
      <c r="CI5" s="261"/>
      <c r="CJ5" s="261"/>
      <c r="CK5" s="261"/>
      <c r="CL5" s="261"/>
      <c r="CM5" s="261"/>
      <c r="CN5" s="261"/>
      <c r="CO5" s="261"/>
      <c r="CP5" s="261"/>
      <c r="CQ5" s="261"/>
      <c r="CR5" s="261"/>
      <c r="CS5" s="261"/>
      <c r="CT5" s="261"/>
      <c r="CU5" s="261"/>
      <c r="CV5" s="261"/>
      <c r="CW5" s="261"/>
      <c r="CX5" s="261"/>
      <c r="CY5" s="261"/>
      <c r="CZ5" s="261"/>
      <c r="DA5" s="261"/>
      <c r="DB5" s="261"/>
      <c r="DC5" s="261"/>
      <c r="DD5" s="261"/>
      <c r="DE5" s="261"/>
      <c r="DF5" s="261"/>
      <c r="DG5" s="261"/>
      <c r="DH5" s="261"/>
      <c r="DI5" s="261"/>
      <c r="DJ5" s="261"/>
      <c r="DK5" s="261"/>
      <c r="DL5" s="261"/>
      <c r="DM5" s="261"/>
      <c r="DN5" s="261"/>
      <c r="DO5" s="261"/>
      <c r="DP5" s="261"/>
      <c r="DQ5" s="261"/>
      <c r="DR5" s="261"/>
      <c r="DS5" s="261"/>
      <c r="DT5" s="261"/>
      <c r="DU5" s="261"/>
      <c r="DV5" s="261"/>
      <c r="DW5" s="261"/>
      <c r="DX5" s="261"/>
      <c r="DY5" s="261"/>
      <c r="DZ5" s="261"/>
      <c r="EA5" s="261"/>
      <c r="EB5" s="261"/>
      <c r="EC5" s="261"/>
      <c r="ED5" s="261"/>
      <c r="EE5" s="261"/>
      <c r="EF5" s="261"/>
      <c r="EG5" s="261"/>
      <c r="EH5" s="261"/>
      <c r="EI5" s="261"/>
      <c r="EJ5" s="261"/>
      <c r="EK5" s="261"/>
      <c r="EL5" s="261"/>
      <c r="EM5" s="261"/>
      <c r="EN5" s="261"/>
      <c r="EO5" s="261"/>
      <c r="EP5" s="261"/>
      <c r="EQ5" s="261"/>
      <c r="ER5" s="261"/>
      <c r="ES5" s="262"/>
      <c r="ET5" s="262"/>
      <c r="EU5" s="262"/>
      <c r="EV5" s="262"/>
      <c r="EW5" s="262"/>
      <c r="EX5" s="262"/>
      <c r="EY5" s="262"/>
      <c r="EZ5" s="262"/>
      <c r="FA5" s="262"/>
      <c r="FB5" s="262"/>
      <c r="FC5" s="262"/>
      <c r="FD5" s="262"/>
      <c r="FE5" s="262"/>
      <c r="FF5" s="262"/>
      <c r="FG5" s="262"/>
      <c r="FH5" s="262"/>
      <c r="FI5" s="262"/>
      <c r="FJ5" s="262"/>
      <c r="FK5" s="262"/>
      <c r="FL5" s="262"/>
      <c r="FM5" s="262"/>
      <c r="FN5" s="262"/>
      <c r="FO5" s="262"/>
      <c r="FP5" s="262"/>
      <c r="FQ5" s="262"/>
      <c r="FR5" s="262"/>
      <c r="FS5" s="262"/>
      <c r="FT5" s="262"/>
      <c r="FU5" s="262"/>
      <c r="FV5" s="262"/>
      <c r="FW5" s="262"/>
      <c r="FX5" s="262"/>
      <c r="FY5" s="262"/>
      <c r="FZ5" s="262"/>
      <c r="GA5" s="262"/>
      <c r="GB5" s="262"/>
      <c r="GC5" s="262"/>
      <c r="GD5" s="262"/>
      <c r="GE5" s="262"/>
      <c r="GF5" s="262"/>
      <c r="GG5" s="262"/>
      <c r="GH5" s="262"/>
      <c r="GI5" s="262"/>
      <c r="GJ5" s="262"/>
      <c r="GK5" s="262"/>
      <c r="GL5" s="262"/>
      <c r="GM5" s="262"/>
      <c r="GN5" s="262"/>
      <c r="GO5" s="262"/>
      <c r="GP5" s="262"/>
      <c r="GQ5" s="262"/>
      <c r="GR5" s="262"/>
      <c r="GS5" s="262"/>
      <c r="GT5" s="262"/>
      <c r="GU5" s="262"/>
      <c r="GV5" s="262"/>
      <c r="GW5" s="262"/>
      <c r="GX5" s="262"/>
      <c r="GY5" s="262"/>
      <c r="GZ5" s="262"/>
      <c r="HA5" s="262"/>
      <c r="HB5" s="262"/>
      <c r="HC5" s="262"/>
      <c r="HD5" s="262"/>
      <c r="HE5" s="262"/>
      <c r="HF5" s="262"/>
      <c r="HG5" s="262"/>
      <c r="HH5" s="262"/>
      <c r="HI5" s="262"/>
      <c r="HJ5" s="262"/>
      <c r="HK5" s="262"/>
      <c r="HL5" s="262"/>
      <c r="HM5" s="262"/>
      <c r="HN5" s="262"/>
      <c r="HO5" s="262"/>
      <c r="HP5" s="262"/>
      <c r="HQ5" s="262"/>
      <c r="HR5" s="262"/>
      <c r="HS5" s="262"/>
      <c r="HT5" s="262"/>
      <c r="HU5" s="262"/>
      <c r="HV5" s="262"/>
      <c r="HW5" s="262"/>
      <c r="HX5" s="262"/>
      <c r="HY5" s="262"/>
      <c r="HZ5" s="262"/>
      <c r="IA5" s="262"/>
      <c r="IB5" s="262"/>
      <c r="IC5" s="262"/>
      <c r="ID5" s="262"/>
      <c r="IE5" s="262"/>
    </row>
    <row r="6" spans="1:239" ht="15.75">
      <c r="A6" s="380"/>
      <c r="B6" s="381"/>
      <c r="C6" s="377"/>
      <c r="D6" s="380"/>
      <c r="E6" s="376"/>
      <c r="F6" s="390"/>
      <c r="G6" s="376"/>
      <c r="H6" s="376"/>
      <c r="I6" s="390"/>
      <c r="J6" s="376"/>
      <c r="K6" s="376"/>
      <c r="L6" s="376"/>
      <c r="M6" s="376"/>
      <c r="N6" s="376"/>
      <c r="O6" s="376"/>
      <c r="P6" s="260"/>
      <c r="Q6" s="261"/>
      <c r="R6" s="261"/>
      <c r="S6" s="261"/>
      <c r="T6" s="261"/>
      <c r="U6" s="261"/>
      <c r="V6" s="261"/>
      <c r="W6" s="261"/>
      <c r="X6" s="261"/>
      <c r="Y6" s="261"/>
      <c r="Z6" s="261"/>
      <c r="AA6" s="261"/>
      <c r="AB6" s="261"/>
      <c r="AC6" s="261"/>
      <c r="AD6" s="261"/>
      <c r="AE6" s="261"/>
      <c r="AF6" s="261"/>
      <c r="AG6" s="261"/>
      <c r="AH6" s="261"/>
      <c r="AI6" s="261"/>
      <c r="AJ6" s="261"/>
      <c r="AK6" s="261"/>
      <c r="AL6" s="261"/>
      <c r="AM6" s="261"/>
      <c r="AN6" s="261"/>
      <c r="AO6" s="261"/>
      <c r="AP6" s="261"/>
      <c r="AQ6" s="261"/>
      <c r="AR6" s="261"/>
      <c r="AS6" s="261"/>
      <c r="AT6" s="261"/>
      <c r="AU6" s="261"/>
      <c r="AV6" s="261"/>
      <c r="AW6" s="261"/>
      <c r="AX6" s="261"/>
      <c r="AY6" s="261"/>
      <c r="AZ6" s="261"/>
      <c r="BA6" s="261"/>
      <c r="BB6" s="261"/>
      <c r="BC6" s="261"/>
      <c r="BD6" s="261"/>
      <c r="BE6" s="261"/>
      <c r="BF6" s="261"/>
      <c r="BG6" s="261"/>
      <c r="BH6" s="261"/>
      <c r="BI6" s="261"/>
      <c r="BJ6" s="261"/>
      <c r="BK6" s="261"/>
      <c r="BL6" s="261"/>
      <c r="BM6" s="261"/>
      <c r="BN6" s="261"/>
      <c r="BO6" s="261"/>
      <c r="BP6" s="261"/>
      <c r="BQ6" s="261"/>
      <c r="BR6" s="261"/>
      <c r="BS6" s="261"/>
      <c r="BT6" s="261"/>
      <c r="BU6" s="261"/>
      <c r="BV6" s="261"/>
      <c r="BW6" s="261"/>
      <c r="BX6" s="261"/>
      <c r="BY6" s="261"/>
      <c r="BZ6" s="261"/>
      <c r="CA6" s="261"/>
      <c r="CB6" s="261"/>
      <c r="CC6" s="261"/>
      <c r="CD6" s="261"/>
      <c r="CE6" s="261"/>
      <c r="CF6" s="261"/>
      <c r="CG6" s="261"/>
      <c r="CH6" s="261"/>
      <c r="CI6" s="261"/>
      <c r="CJ6" s="261"/>
      <c r="CK6" s="261"/>
      <c r="CL6" s="261"/>
      <c r="CM6" s="261"/>
      <c r="CN6" s="261"/>
      <c r="CO6" s="261"/>
      <c r="CP6" s="261"/>
      <c r="CQ6" s="261"/>
      <c r="CR6" s="261"/>
      <c r="CS6" s="261"/>
      <c r="CT6" s="261"/>
      <c r="CU6" s="261"/>
      <c r="CV6" s="261"/>
      <c r="CW6" s="261"/>
      <c r="CX6" s="261"/>
      <c r="CY6" s="261"/>
      <c r="CZ6" s="261"/>
      <c r="DA6" s="261"/>
      <c r="DB6" s="261"/>
      <c r="DC6" s="261"/>
      <c r="DD6" s="261"/>
      <c r="DE6" s="261"/>
      <c r="DF6" s="261"/>
      <c r="DG6" s="261"/>
      <c r="DH6" s="261"/>
      <c r="DI6" s="261"/>
      <c r="DJ6" s="261"/>
      <c r="DK6" s="261"/>
      <c r="DL6" s="261"/>
      <c r="DM6" s="261"/>
      <c r="DN6" s="261"/>
      <c r="DO6" s="261"/>
      <c r="DP6" s="261"/>
      <c r="DQ6" s="261"/>
      <c r="DR6" s="261"/>
      <c r="DS6" s="261"/>
      <c r="DT6" s="261"/>
      <c r="DU6" s="261"/>
      <c r="DV6" s="261"/>
      <c r="DW6" s="261"/>
      <c r="DX6" s="261"/>
      <c r="DY6" s="261"/>
      <c r="DZ6" s="261"/>
      <c r="EA6" s="261"/>
      <c r="EB6" s="261"/>
      <c r="EC6" s="261"/>
      <c r="ED6" s="261"/>
      <c r="EE6" s="261"/>
      <c r="EF6" s="261"/>
      <c r="EG6" s="261"/>
      <c r="EH6" s="261"/>
      <c r="EI6" s="261"/>
      <c r="EJ6" s="261"/>
      <c r="EK6" s="261"/>
      <c r="EL6" s="261"/>
      <c r="EM6" s="261"/>
      <c r="EN6" s="261"/>
      <c r="EO6" s="261"/>
      <c r="EP6" s="261"/>
      <c r="EQ6" s="261"/>
      <c r="ER6" s="261"/>
      <c r="ES6" s="262"/>
      <c r="ET6" s="262"/>
      <c r="EU6" s="262"/>
      <c r="EV6" s="262"/>
      <c r="EW6" s="262"/>
      <c r="EX6" s="262"/>
      <c r="EY6" s="262"/>
      <c r="EZ6" s="262"/>
      <c r="FA6" s="262"/>
      <c r="FB6" s="262"/>
      <c r="FC6" s="262"/>
      <c r="FD6" s="262"/>
      <c r="FE6" s="262"/>
      <c r="FF6" s="262"/>
      <c r="FG6" s="262"/>
      <c r="FH6" s="262"/>
      <c r="FI6" s="262"/>
      <c r="FJ6" s="262"/>
      <c r="FK6" s="262"/>
      <c r="FL6" s="262"/>
      <c r="FM6" s="262"/>
      <c r="FN6" s="262"/>
      <c r="FO6" s="262"/>
      <c r="FP6" s="262"/>
      <c r="FQ6" s="262"/>
      <c r="FR6" s="262"/>
      <c r="FS6" s="262"/>
      <c r="FT6" s="262"/>
      <c r="FU6" s="262"/>
      <c r="FV6" s="262"/>
      <c r="FW6" s="262"/>
      <c r="FX6" s="262"/>
      <c r="FY6" s="262"/>
      <c r="FZ6" s="262"/>
      <c r="GA6" s="262"/>
      <c r="GB6" s="262"/>
      <c r="GC6" s="262"/>
      <c r="GD6" s="262"/>
      <c r="GE6" s="262"/>
      <c r="GF6" s="262"/>
      <c r="GG6" s="262"/>
      <c r="GH6" s="262"/>
      <c r="GI6" s="262"/>
      <c r="GJ6" s="262"/>
      <c r="GK6" s="262"/>
      <c r="GL6" s="262"/>
      <c r="GM6" s="262"/>
      <c r="GN6" s="262"/>
      <c r="GO6" s="262"/>
      <c r="GP6" s="262"/>
      <c r="GQ6" s="262"/>
      <c r="GR6" s="262"/>
      <c r="GS6" s="262"/>
      <c r="GT6" s="262"/>
      <c r="GU6" s="262"/>
      <c r="GV6" s="262"/>
      <c r="GW6" s="262"/>
      <c r="GX6" s="262"/>
      <c r="GY6" s="262"/>
      <c r="GZ6" s="262"/>
      <c r="HA6" s="262"/>
      <c r="HB6" s="262"/>
      <c r="HC6" s="262"/>
      <c r="HD6" s="262"/>
      <c r="HE6" s="262"/>
      <c r="HF6" s="262"/>
      <c r="HG6" s="262"/>
      <c r="HH6" s="262"/>
      <c r="HI6" s="262"/>
      <c r="HJ6" s="262"/>
      <c r="HK6" s="262"/>
      <c r="HL6" s="262"/>
      <c r="HM6" s="262"/>
      <c r="HN6" s="262"/>
      <c r="HO6" s="262"/>
      <c r="HP6" s="262"/>
      <c r="HQ6" s="262"/>
      <c r="HR6" s="262"/>
      <c r="HS6" s="262"/>
      <c r="HT6" s="262"/>
      <c r="HU6" s="262"/>
      <c r="HV6" s="262"/>
      <c r="HW6" s="262"/>
      <c r="HX6" s="262"/>
      <c r="HY6" s="262"/>
      <c r="HZ6" s="262"/>
      <c r="IA6" s="262"/>
      <c r="IB6" s="262"/>
      <c r="IC6" s="262"/>
      <c r="ID6" s="262"/>
      <c r="IE6" s="262"/>
    </row>
    <row r="7" spans="1:236" s="264" customFormat="1" ht="15.75" customHeight="1">
      <c r="A7" s="323">
        <v>1</v>
      </c>
      <c r="B7" s="324" t="s">
        <v>663</v>
      </c>
      <c r="C7" s="324"/>
      <c r="D7" s="325"/>
      <c r="E7" s="326"/>
      <c r="F7" s="326"/>
      <c r="G7" s="326"/>
      <c r="H7" s="326"/>
      <c r="I7" s="326"/>
      <c r="J7" s="326"/>
      <c r="K7" s="326"/>
      <c r="L7" s="326"/>
      <c r="M7" s="326"/>
      <c r="N7" s="326"/>
      <c r="O7" s="326"/>
      <c r="P7" s="263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261"/>
      <c r="AG7" s="261"/>
      <c r="AH7" s="261"/>
      <c r="AI7" s="261"/>
      <c r="AJ7" s="261"/>
      <c r="AK7" s="261"/>
      <c r="AL7" s="261"/>
      <c r="AM7" s="261"/>
      <c r="AN7" s="261"/>
      <c r="AO7" s="261"/>
      <c r="AP7" s="261"/>
      <c r="AQ7" s="261"/>
      <c r="AR7" s="261"/>
      <c r="AS7" s="261"/>
      <c r="AT7" s="261"/>
      <c r="AU7" s="261"/>
      <c r="AV7" s="261"/>
      <c r="AW7" s="261"/>
      <c r="AX7" s="261"/>
      <c r="AY7" s="261"/>
      <c r="AZ7" s="261"/>
      <c r="BA7" s="261"/>
      <c r="BB7" s="261"/>
      <c r="BC7" s="261"/>
      <c r="BD7" s="261"/>
      <c r="BE7" s="261"/>
      <c r="BF7" s="261"/>
      <c r="BG7" s="261"/>
      <c r="BH7" s="261"/>
      <c r="BI7" s="261"/>
      <c r="BJ7" s="261"/>
      <c r="BK7" s="261"/>
      <c r="BL7" s="261"/>
      <c r="BM7" s="261"/>
      <c r="BN7" s="261"/>
      <c r="BO7" s="261"/>
      <c r="BP7" s="261"/>
      <c r="BQ7" s="261"/>
      <c r="BR7" s="261"/>
      <c r="BS7" s="261"/>
      <c r="BT7" s="261"/>
      <c r="BU7" s="261"/>
      <c r="BV7" s="261"/>
      <c r="BW7" s="261"/>
      <c r="BX7" s="261"/>
      <c r="BY7" s="261"/>
      <c r="BZ7" s="261"/>
      <c r="CA7" s="261"/>
      <c r="CB7" s="261"/>
      <c r="CC7" s="261"/>
      <c r="CD7" s="261"/>
      <c r="CE7" s="261"/>
      <c r="CF7" s="261"/>
      <c r="CG7" s="261"/>
      <c r="CH7" s="261"/>
      <c r="CI7" s="261"/>
      <c r="CJ7" s="261"/>
      <c r="CK7" s="261"/>
      <c r="CL7" s="261"/>
      <c r="CM7" s="261"/>
      <c r="CN7" s="261"/>
      <c r="CO7" s="261"/>
      <c r="CP7" s="261"/>
      <c r="CQ7" s="261"/>
      <c r="CR7" s="261"/>
      <c r="CS7" s="261"/>
      <c r="CT7" s="261"/>
      <c r="CU7" s="261"/>
      <c r="CV7" s="261"/>
      <c r="CW7" s="261"/>
      <c r="CX7" s="261"/>
      <c r="CY7" s="261"/>
      <c r="CZ7" s="261"/>
      <c r="DA7" s="261"/>
      <c r="DB7" s="261"/>
      <c r="DC7" s="261"/>
      <c r="DD7" s="261"/>
      <c r="DE7" s="261"/>
      <c r="DF7" s="261"/>
      <c r="DG7" s="261"/>
      <c r="DH7" s="261"/>
      <c r="DI7" s="261"/>
      <c r="DJ7" s="261"/>
      <c r="DK7" s="261"/>
      <c r="DL7" s="261"/>
      <c r="DM7" s="261"/>
      <c r="DN7" s="261"/>
      <c r="DO7" s="261"/>
      <c r="DP7" s="261"/>
      <c r="DQ7" s="261"/>
      <c r="DR7" s="261"/>
      <c r="DS7" s="261"/>
      <c r="DT7" s="261"/>
      <c r="DU7" s="261"/>
      <c r="DV7" s="261"/>
      <c r="DW7" s="261"/>
      <c r="DX7" s="261"/>
      <c r="DY7" s="261"/>
      <c r="DZ7" s="261"/>
      <c r="EA7" s="261"/>
      <c r="EB7" s="261"/>
      <c r="EC7" s="261"/>
      <c r="ED7" s="261"/>
      <c r="EE7" s="261"/>
      <c r="EF7" s="261"/>
      <c r="EG7" s="261"/>
      <c r="EH7" s="261"/>
      <c r="EI7" s="261"/>
      <c r="EJ7" s="261"/>
      <c r="EK7" s="261"/>
      <c r="EL7" s="261"/>
      <c r="EM7" s="261"/>
      <c r="EN7" s="261"/>
      <c r="EO7" s="261"/>
      <c r="EP7" s="261"/>
      <c r="EQ7" s="261"/>
      <c r="ER7" s="261"/>
      <c r="ES7" s="261"/>
      <c r="ET7" s="261"/>
      <c r="EU7" s="261"/>
      <c r="EV7" s="261"/>
      <c r="EW7" s="261"/>
      <c r="EX7" s="261"/>
      <c r="EY7" s="261"/>
      <c r="EZ7" s="261"/>
      <c r="FA7" s="261"/>
      <c r="FB7" s="261"/>
      <c r="FC7" s="261"/>
      <c r="FD7" s="261"/>
      <c r="FE7" s="261"/>
      <c r="FF7" s="261"/>
      <c r="FG7" s="261"/>
      <c r="FH7" s="261"/>
      <c r="FI7" s="261"/>
      <c r="FJ7" s="261"/>
      <c r="FK7" s="261"/>
      <c r="FL7" s="261"/>
      <c r="FM7" s="261"/>
      <c r="FN7" s="261"/>
      <c r="FO7" s="261"/>
      <c r="FP7" s="261"/>
      <c r="FQ7" s="261"/>
      <c r="FR7" s="261"/>
      <c r="FS7" s="261"/>
      <c r="FT7" s="261"/>
      <c r="FU7" s="261"/>
      <c r="FV7" s="261"/>
      <c r="FW7" s="261"/>
      <c r="FX7" s="261"/>
      <c r="FY7" s="261"/>
      <c r="FZ7" s="261"/>
      <c r="GA7" s="261"/>
      <c r="GB7" s="261"/>
      <c r="GC7" s="261"/>
      <c r="GD7" s="261"/>
      <c r="GE7" s="261"/>
      <c r="GF7" s="261"/>
      <c r="GG7" s="261"/>
      <c r="GH7" s="261"/>
      <c r="GI7" s="261"/>
      <c r="GJ7" s="261"/>
      <c r="GK7" s="261"/>
      <c r="GL7" s="261"/>
      <c r="GM7" s="261"/>
      <c r="GN7" s="261"/>
      <c r="GO7" s="261"/>
      <c r="GP7" s="261"/>
      <c r="GQ7" s="261"/>
      <c r="GR7" s="261"/>
      <c r="GS7" s="261"/>
      <c r="GT7" s="261"/>
      <c r="GU7" s="261"/>
      <c r="GV7" s="261"/>
      <c r="GW7" s="261"/>
      <c r="GX7" s="261"/>
      <c r="GY7" s="261"/>
      <c r="GZ7" s="261"/>
      <c r="HA7" s="261"/>
      <c r="HB7" s="261"/>
      <c r="HC7" s="261"/>
      <c r="HD7" s="261"/>
      <c r="HE7" s="261"/>
      <c r="HF7" s="261"/>
      <c r="HG7" s="261"/>
      <c r="HH7" s="261"/>
      <c r="HI7" s="261"/>
      <c r="HJ7" s="261"/>
      <c r="HK7" s="261"/>
      <c r="HL7" s="261"/>
      <c r="HM7" s="261"/>
      <c r="HN7" s="261"/>
      <c r="HO7" s="261"/>
      <c r="HP7" s="261"/>
      <c r="HQ7" s="261"/>
      <c r="HR7" s="261"/>
      <c r="HS7" s="261"/>
      <c r="HT7" s="261"/>
      <c r="HU7" s="261"/>
      <c r="HV7" s="261"/>
      <c r="HW7" s="261"/>
      <c r="HX7" s="261"/>
      <c r="HY7" s="261"/>
      <c r="HZ7" s="261"/>
      <c r="IA7" s="261"/>
      <c r="IB7" s="261"/>
    </row>
    <row r="8" spans="1:236" s="264" customFormat="1" ht="15.75" customHeight="1">
      <c r="A8" s="327" t="s">
        <v>380</v>
      </c>
      <c r="B8" s="328" t="s">
        <v>2763</v>
      </c>
      <c r="C8" s="329"/>
      <c r="D8" s="325"/>
      <c r="E8" s="330"/>
      <c r="F8" s="330"/>
      <c r="G8" s="330"/>
      <c r="H8" s="330"/>
      <c r="I8" s="330"/>
      <c r="J8" s="330"/>
      <c r="K8" s="330"/>
      <c r="L8" s="330"/>
      <c r="M8" s="330"/>
      <c r="N8" s="330"/>
      <c r="O8" s="330"/>
      <c r="P8" s="263"/>
      <c r="Q8" s="261"/>
      <c r="R8" s="261"/>
      <c r="S8" s="261"/>
      <c r="T8" s="261"/>
      <c r="U8" s="261"/>
      <c r="V8" s="261"/>
      <c r="W8" s="261"/>
      <c r="X8" s="261"/>
      <c r="Y8" s="261"/>
      <c r="Z8" s="261"/>
      <c r="AA8" s="261"/>
      <c r="AB8" s="261"/>
      <c r="AC8" s="261"/>
      <c r="AD8" s="261"/>
      <c r="AE8" s="261"/>
      <c r="AF8" s="261"/>
      <c r="AG8" s="261"/>
      <c r="AH8" s="261"/>
      <c r="AI8" s="261"/>
      <c r="AJ8" s="261"/>
      <c r="AK8" s="261"/>
      <c r="AL8" s="261"/>
      <c r="AM8" s="261"/>
      <c r="AN8" s="261"/>
      <c r="AO8" s="261"/>
      <c r="AP8" s="261"/>
      <c r="AQ8" s="261"/>
      <c r="AR8" s="261"/>
      <c r="AS8" s="261"/>
      <c r="AT8" s="261"/>
      <c r="AU8" s="261"/>
      <c r="AV8" s="261"/>
      <c r="AW8" s="261"/>
      <c r="AX8" s="261"/>
      <c r="AY8" s="261"/>
      <c r="AZ8" s="261"/>
      <c r="BA8" s="261"/>
      <c r="BB8" s="261"/>
      <c r="BC8" s="261"/>
      <c r="BD8" s="261"/>
      <c r="BE8" s="261"/>
      <c r="BF8" s="261"/>
      <c r="BG8" s="261"/>
      <c r="BH8" s="261"/>
      <c r="BI8" s="261"/>
      <c r="BJ8" s="261"/>
      <c r="BK8" s="261"/>
      <c r="BL8" s="261"/>
      <c r="BM8" s="261"/>
      <c r="BN8" s="261"/>
      <c r="BO8" s="261"/>
      <c r="BP8" s="261"/>
      <c r="BQ8" s="261"/>
      <c r="BR8" s="261"/>
      <c r="BS8" s="261"/>
      <c r="BT8" s="261"/>
      <c r="BU8" s="261"/>
      <c r="BV8" s="261"/>
      <c r="BW8" s="261"/>
      <c r="BX8" s="261"/>
      <c r="BY8" s="261"/>
      <c r="BZ8" s="261"/>
      <c r="CA8" s="261"/>
      <c r="CB8" s="261"/>
      <c r="CC8" s="261"/>
      <c r="CD8" s="261"/>
      <c r="CE8" s="261"/>
      <c r="CF8" s="261"/>
      <c r="CG8" s="261"/>
      <c r="CH8" s="261"/>
      <c r="CI8" s="261"/>
      <c r="CJ8" s="261"/>
      <c r="CK8" s="261"/>
      <c r="CL8" s="261"/>
      <c r="CM8" s="261"/>
      <c r="CN8" s="261"/>
      <c r="CO8" s="261"/>
      <c r="CP8" s="261"/>
      <c r="CQ8" s="261"/>
      <c r="CR8" s="261"/>
      <c r="CS8" s="261"/>
      <c r="CT8" s="261"/>
      <c r="CU8" s="261"/>
      <c r="CV8" s="261"/>
      <c r="CW8" s="261"/>
      <c r="CX8" s="261"/>
      <c r="CY8" s="261"/>
      <c r="CZ8" s="261"/>
      <c r="DA8" s="261"/>
      <c r="DB8" s="261"/>
      <c r="DC8" s="261"/>
      <c r="DD8" s="261"/>
      <c r="DE8" s="261"/>
      <c r="DF8" s="261"/>
      <c r="DG8" s="261"/>
      <c r="DH8" s="261"/>
      <c r="DI8" s="261"/>
      <c r="DJ8" s="261"/>
      <c r="DK8" s="261"/>
      <c r="DL8" s="261"/>
      <c r="DM8" s="261"/>
      <c r="DN8" s="261"/>
      <c r="DO8" s="261"/>
      <c r="DP8" s="261"/>
      <c r="DQ8" s="261"/>
      <c r="DR8" s="261"/>
      <c r="DS8" s="261"/>
      <c r="DT8" s="261"/>
      <c r="DU8" s="261"/>
      <c r="DV8" s="261"/>
      <c r="DW8" s="261"/>
      <c r="DX8" s="261"/>
      <c r="DY8" s="261"/>
      <c r="DZ8" s="261"/>
      <c r="EA8" s="261"/>
      <c r="EB8" s="261"/>
      <c r="EC8" s="261"/>
      <c r="ED8" s="261"/>
      <c r="EE8" s="261"/>
      <c r="EF8" s="261"/>
      <c r="EG8" s="261"/>
      <c r="EH8" s="261"/>
      <c r="EI8" s="261"/>
      <c r="EJ8" s="261"/>
      <c r="EK8" s="261"/>
      <c r="EL8" s="261"/>
      <c r="EM8" s="261"/>
      <c r="EN8" s="261"/>
      <c r="EO8" s="261"/>
      <c r="EP8" s="261"/>
      <c r="EQ8" s="261"/>
      <c r="ER8" s="261"/>
      <c r="ES8" s="261"/>
      <c r="ET8" s="261"/>
      <c r="EU8" s="261"/>
      <c r="EV8" s="261"/>
      <c r="EW8" s="261"/>
      <c r="EX8" s="261"/>
      <c r="EY8" s="261"/>
      <c r="EZ8" s="261"/>
      <c r="FA8" s="261"/>
      <c r="FB8" s="261"/>
      <c r="FC8" s="261"/>
      <c r="FD8" s="261"/>
      <c r="FE8" s="261"/>
      <c r="FF8" s="261"/>
      <c r="FG8" s="261"/>
      <c r="FH8" s="261"/>
      <c r="FI8" s="261"/>
      <c r="FJ8" s="261"/>
      <c r="FK8" s="261"/>
      <c r="FL8" s="261"/>
      <c r="FM8" s="261"/>
      <c r="FN8" s="261"/>
      <c r="FO8" s="261"/>
      <c r="FP8" s="261"/>
      <c r="FQ8" s="261"/>
      <c r="FR8" s="261"/>
      <c r="FS8" s="261"/>
      <c r="FT8" s="261"/>
      <c r="FU8" s="261"/>
      <c r="FV8" s="261"/>
      <c r="FW8" s="261"/>
      <c r="FX8" s="261"/>
      <c r="FY8" s="261"/>
      <c r="FZ8" s="261"/>
      <c r="GA8" s="261"/>
      <c r="GB8" s="261"/>
      <c r="GC8" s="261"/>
      <c r="GD8" s="261"/>
      <c r="GE8" s="261"/>
      <c r="GF8" s="261"/>
      <c r="GG8" s="261"/>
      <c r="GH8" s="261"/>
      <c r="GI8" s="261"/>
      <c r="GJ8" s="261"/>
      <c r="GK8" s="261"/>
      <c r="GL8" s="261"/>
      <c r="GM8" s="261"/>
      <c r="GN8" s="261"/>
      <c r="GO8" s="261"/>
      <c r="GP8" s="261"/>
      <c r="GQ8" s="261"/>
      <c r="GR8" s="261"/>
      <c r="GS8" s="261"/>
      <c r="GT8" s="261"/>
      <c r="GU8" s="261"/>
      <c r="GV8" s="261"/>
      <c r="GW8" s="261"/>
      <c r="GX8" s="261"/>
      <c r="GY8" s="261"/>
      <c r="GZ8" s="261"/>
      <c r="HA8" s="261"/>
      <c r="HB8" s="261"/>
      <c r="HC8" s="261"/>
      <c r="HD8" s="261"/>
      <c r="HE8" s="261"/>
      <c r="HF8" s="261"/>
      <c r="HG8" s="261"/>
      <c r="HH8" s="261"/>
      <c r="HI8" s="261"/>
      <c r="HJ8" s="261"/>
      <c r="HK8" s="261"/>
      <c r="HL8" s="261"/>
      <c r="HM8" s="261"/>
      <c r="HN8" s="261"/>
      <c r="HO8" s="261"/>
      <c r="HP8" s="261"/>
      <c r="HQ8" s="261"/>
      <c r="HR8" s="261"/>
      <c r="HS8" s="261"/>
      <c r="HT8" s="261"/>
      <c r="HU8" s="261"/>
      <c r="HV8" s="261"/>
      <c r="HW8" s="261"/>
      <c r="HX8" s="261"/>
      <c r="HY8" s="261"/>
      <c r="HZ8" s="261"/>
      <c r="IA8" s="261"/>
      <c r="IB8" s="261"/>
    </row>
    <row r="9" spans="1:236" s="264" customFormat="1" ht="15.75" customHeight="1">
      <c r="A9" s="327"/>
      <c r="B9" s="331" t="s">
        <v>2761</v>
      </c>
      <c r="C9" s="331" t="s">
        <v>2575</v>
      </c>
      <c r="D9" s="325" t="s">
        <v>595</v>
      </c>
      <c r="E9" s="330">
        <v>1520</v>
      </c>
      <c r="F9" s="336">
        <v>1550</v>
      </c>
      <c r="G9" s="330">
        <v>1520</v>
      </c>
      <c r="H9" s="330">
        <v>1520</v>
      </c>
      <c r="I9" s="330">
        <v>1455</v>
      </c>
      <c r="J9" s="330">
        <v>1500</v>
      </c>
      <c r="K9" s="355">
        <v>1550</v>
      </c>
      <c r="L9" s="330">
        <v>1600</v>
      </c>
      <c r="M9" s="330">
        <v>1480</v>
      </c>
      <c r="N9" s="330"/>
      <c r="O9" s="330"/>
      <c r="P9" s="263"/>
      <c r="Q9" s="261"/>
      <c r="R9" s="261"/>
      <c r="S9" s="261"/>
      <c r="T9" s="261"/>
      <c r="U9" s="261"/>
      <c r="V9" s="261"/>
      <c r="W9" s="261"/>
      <c r="X9" s="261"/>
      <c r="Y9" s="261"/>
      <c r="Z9" s="261"/>
      <c r="AA9" s="261"/>
      <c r="AB9" s="261"/>
      <c r="AC9" s="261"/>
      <c r="AD9" s="261"/>
      <c r="AE9" s="261"/>
      <c r="AF9" s="261"/>
      <c r="AG9" s="261"/>
      <c r="AH9" s="261"/>
      <c r="AI9" s="261"/>
      <c r="AJ9" s="261"/>
      <c r="AK9" s="261"/>
      <c r="AL9" s="261"/>
      <c r="AM9" s="261"/>
      <c r="AN9" s="261"/>
      <c r="AO9" s="261"/>
      <c r="AP9" s="261"/>
      <c r="AQ9" s="261"/>
      <c r="AR9" s="261"/>
      <c r="AS9" s="261"/>
      <c r="AT9" s="261"/>
      <c r="AU9" s="261"/>
      <c r="AV9" s="261"/>
      <c r="AW9" s="261"/>
      <c r="AX9" s="261"/>
      <c r="AY9" s="261"/>
      <c r="AZ9" s="261"/>
      <c r="BA9" s="261"/>
      <c r="BB9" s="261"/>
      <c r="BC9" s="261"/>
      <c r="BD9" s="261"/>
      <c r="BE9" s="261"/>
      <c r="BF9" s="261"/>
      <c r="BG9" s="261"/>
      <c r="BH9" s="261"/>
      <c r="BI9" s="261"/>
      <c r="BJ9" s="261"/>
      <c r="BK9" s="261"/>
      <c r="BL9" s="261"/>
      <c r="BM9" s="261"/>
      <c r="BN9" s="261"/>
      <c r="BO9" s="261"/>
      <c r="BP9" s="261"/>
      <c r="BQ9" s="261"/>
      <c r="BR9" s="261"/>
      <c r="BS9" s="261"/>
      <c r="BT9" s="261"/>
      <c r="BU9" s="261"/>
      <c r="BV9" s="261"/>
      <c r="BW9" s="261"/>
      <c r="BX9" s="261"/>
      <c r="BY9" s="261"/>
      <c r="BZ9" s="261"/>
      <c r="CA9" s="261"/>
      <c r="CB9" s="261"/>
      <c r="CC9" s="261"/>
      <c r="CD9" s="261"/>
      <c r="CE9" s="261"/>
      <c r="CF9" s="261"/>
      <c r="CG9" s="261"/>
      <c r="CH9" s="261"/>
      <c r="CI9" s="261"/>
      <c r="CJ9" s="261"/>
      <c r="CK9" s="261"/>
      <c r="CL9" s="261"/>
      <c r="CM9" s="261"/>
      <c r="CN9" s="261"/>
      <c r="CO9" s="261"/>
      <c r="CP9" s="261"/>
      <c r="CQ9" s="261"/>
      <c r="CR9" s="261"/>
      <c r="CS9" s="261"/>
      <c r="CT9" s="261"/>
      <c r="CU9" s="261"/>
      <c r="CV9" s="261"/>
      <c r="CW9" s="261"/>
      <c r="CX9" s="261"/>
      <c r="CY9" s="261"/>
      <c r="CZ9" s="261"/>
      <c r="DA9" s="261"/>
      <c r="DB9" s="261"/>
      <c r="DC9" s="261"/>
      <c r="DD9" s="261"/>
      <c r="DE9" s="261"/>
      <c r="DF9" s="261"/>
      <c r="DG9" s="261"/>
      <c r="DH9" s="261"/>
      <c r="DI9" s="261"/>
      <c r="DJ9" s="261"/>
      <c r="DK9" s="261"/>
      <c r="DL9" s="261"/>
      <c r="DM9" s="261"/>
      <c r="DN9" s="261"/>
      <c r="DO9" s="261"/>
      <c r="DP9" s="261"/>
      <c r="DQ9" s="261"/>
      <c r="DR9" s="261"/>
      <c r="DS9" s="261"/>
      <c r="DT9" s="261"/>
      <c r="DU9" s="261"/>
      <c r="DV9" s="261"/>
      <c r="DW9" s="261"/>
      <c r="DX9" s="261"/>
      <c r="DY9" s="261"/>
      <c r="DZ9" s="261"/>
      <c r="EA9" s="261"/>
      <c r="EB9" s="261"/>
      <c r="EC9" s="261"/>
      <c r="ED9" s="261"/>
      <c r="EE9" s="261"/>
      <c r="EF9" s="261"/>
      <c r="EG9" s="261"/>
      <c r="EH9" s="261"/>
      <c r="EI9" s="261"/>
      <c r="EJ9" s="261"/>
      <c r="EK9" s="261"/>
      <c r="EL9" s="261"/>
      <c r="EM9" s="261"/>
      <c r="EN9" s="261"/>
      <c r="EO9" s="261"/>
      <c r="EP9" s="261"/>
      <c r="EQ9" s="261"/>
      <c r="ER9" s="261"/>
      <c r="ES9" s="261"/>
      <c r="ET9" s="261"/>
      <c r="EU9" s="261"/>
      <c r="EV9" s="261"/>
      <c r="EW9" s="261"/>
      <c r="EX9" s="261"/>
      <c r="EY9" s="261"/>
      <c r="EZ9" s="261"/>
      <c r="FA9" s="261"/>
      <c r="FB9" s="261"/>
      <c r="FC9" s="261"/>
      <c r="FD9" s="261"/>
      <c r="FE9" s="261"/>
      <c r="FF9" s="261"/>
      <c r="FG9" s="261"/>
      <c r="FH9" s="261"/>
      <c r="FI9" s="261"/>
      <c r="FJ9" s="261"/>
      <c r="FK9" s="261"/>
      <c r="FL9" s="261"/>
      <c r="FM9" s="261"/>
      <c r="FN9" s="261"/>
      <c r="FO9" s="261"/>
      <c r="FP9" s="261"/>
      <c r="FQ9" s="261"/>
      <c r="FR9" s="261"/>
      <c r="FS9" s="261"/>
      <c r="FT9" s="261"/>
      <c r="FU9" s="261"/>
      <c r="FV9" s="261"/>
      <c r="FW9" s="261"/>
      <c r="FX9" s="261"/>
      <c r="FY9" s="261"/>
      <c r="FZ9" s="261"/>
      <c r="GA9" s="261"/>
      <c r="GB9" s="261"/>
      <c r="GC9" s="261"/>
      <c r="GD9" s="261"/>
      <c r="GE9" s="261"/>
      <c r="GF9" s="261"/>
      <c r="GG9" s="261"/>
      <c r="GH9" s="261"/>
      <c r="GI9" s="261"/>
      <c r="GJ9" s="261"/>
      <c r="GK9" s="261"/>
      <c r="GL9" s="261"/>
      <c r="GM9" s="261"/>
      <c r="GN9" s="261"/>
      <c r="GO9" s="261"/>
      <c r="GP9" s="261"/>
      <c r="GQ9" s="261"/>
      <c r="GR9" s="261"/>
      <c r="GS9" s="261"/>
      <c r="GT9" s="261"/>
      <c r="GU9" s="261"/>
      <c r="GV9" s="261"/>
      <c r="GW9" s="261"/>
      <c r="GX9" s="261"/>
      <c r="GY9" s="261"/>
      <c r="GZ9" s="261"/>
      <c r="HA9" s="261"/>
      <c r="HB9" s="261"/>
      <c r="HC9" s="261"/>
      <c r="HD9" s="261"/>
      <c r="HE9" s="261"/>
      <c r="HF9" s="261"/>
      <c r="HG9" s="261"/>
      <c r="HH9" s="261"/>
      <c r="HI9" s="261"/>
      <c r="HJ9" s="261"/>
      <c r="HK9" s="261"/>
      <c r="HL9" s="261"/>
      <c r="HM9" s="261"/>
      <c r="HN9" s="261"/>
      <c r="HO9" s="261"/>
      <c r="HP9" s="261"/>
      <c r="HQ9" s="261"/>
      <c r="HR9" s="261"/>
      <c r="HS9" s="261"/>
      <c r="HT9" s="261"/>
      <c r="HU9" s="261"/>
      <c r="HV9" s="261"/>
      <c r="HW9" s="261"/>
      <c r="HX9" s="261"/>
      <c r="HY9" s="261"/>
      <c r="HZ9" s="261"/>
      <c r="IA9" s="261"/>
      <c r="IB9" s="261"/>
    </row>
    <row r="10" spans="1:236" s="264" customFormat="1" ht="15.75" customHeight="1">
      <c r="A10" s="327"/>
      <c r="B10" s="331" t="s">
        <v>2762</v>
      </c>
      <c r="C10" s="331" t="s">
        <v>2576</v>
      </c>
      <c r="D10" s="325" t="s">
        <v>282</v>
      </c>
      <c r="E10" s="330">
        <v>1590</v>
      </c>
      <c r="F10" s="336">
        <v>1650</v>
      </c>
      <c r="G10" s="330">
        <v>1650</v>
      </c>
      <c r="H10" s="330">
        <v>1650</v>
      </c>
      <c r="I10" s="330">
        <v>1545</v>
      </c>
      <c r="J10" s="330">
        <v>1600</v>
      </c>
      <c r="K10" s="355">
        <v>1600</v>
      </c>
      <c r="L10" s="330">
        <v>1650</v>
      </c>
      <c r="M10" s="330">
        <v>1560</v>
      </c>
      <c r="N10" s="330"/>
      <c r="O10" s="330"/>
      <c r="P10" s="263"/>
      <c r="Q10" s="261"/>
      <c r="R10" s="261"/>
      <c r="S10" s="261"/>
      <c r="T10" s="261"/>
      <c r="U10" s="261"/>
      <c r="V10" s="261"/>
      <c r="W10" s="261"/>
      <c r="X10" s="261"/>
      <c r="Y10" s="261"/>
      <c r="Z10" s="261"/>
      <c r="AA10" s="261"/>
      <c r="AB10" s="261"/>
      <c r="AC10" s="261"/>
      <c r="AD10" s="261"/>
      <c r="AE10" s="261"/>
      <c r="AF10" s="261"/>
      <c r="AG10" s="261"/>
      <c r="AH10" s="261"/>
      <c r="AI10" s="261"/>
      <c r="AJ10" s="261"/>
      <c r="AK10" s="261"/>
      <c r="AL10" s="261"/>
      <c r="AM10" s="261"/>
      <c r="AN10" s="261"/>
      <c r="AO10" s="261"/>
      <c r="AP10" s="261"/>
      <c r="AQ10" s="261"/>
      <c r="AR10" s="261"/>
      <c r="AS10" s="261"/>
      <c r="AT10" s="261"/>
      <c r="AU10" s="261"/>
      <c r="AV10" s="261"/>
      <c r="AW10" s="261"/>
      <c r="AX10" s="261"/>
      <c r="AY10" s="261"/>
      <c r="AZ10" s="261"/>
      <c r="BA10" s="261"/>
      <c r="BB10" s="261"/>
      <c r="BC10" s="261"/>
      <c r="BD10" s="261"/>
      <c r="BE10" s="261"/>
      <c r="BF10" s="261"/>
      <c r="BG10" s="261"/>
      <c r="BH10" s="261"/>
      <c r="BI10" s="261"/>
      <c r="BJ10" s="261"/>
      <c r="BK10" s="261"/>
      <c r="BL10" s="261"/>
      <c r="BM10" s="261"/>
      <c r="BN10" s="261"/>
      <c r="BO10" s="261"/>
      <c r="BP10" s="261"/>
      <c r="BQ10" s="261"/>
      <c r="BR10" s="261"/>
      <c r="BS10" s="261"/>
      <c r="BT10" s="261"/>
      <c r="BU10" s="261"/>
      <c r="BV10" s="261"/>
      <c r="BW10" s="261"/>
      <c r="BX10" s="261"/>
      <c r="BY10" s="261"/>
      <c r="BZ10" s="261"/>
      <c r="CA10" s="261"/>
      <c r="CB10" s="261"/>
      <c r="CC10" s="261"/>
      <c r="CD10" s="261"/>
      <c r="CE10" s="261"/>
      <c r="CF10" s="261"/>
      <c r="CG10" s="261"/>
      <c r="CH10" s="261"/>
      <c r="CI10" s="261"/>
      <c r="CJ10" s="261"/>
      <c r="CK10" s="261"/>
      <c r="CL10" s="261"/>
      <c r="CM10" s="261"/>
      <c r="CN10" s="261"/>
      <c r="CO10" s="261"/>
      <c r="CP10" s="261"/>
      <c r="CQ10" s="261"/>
      <c r="CR10" s="261"/>
      <c r="CS10" s="261"/>
      <c r="CT10" s="261"/>
      <c r="CU10" s="261"/>
      <c r="CV10" s="261"/>
      <c r="CW10" s="261"/>
      <c r="CX10" s="261"/>
      <c r="CY10" s="261"/>
      <c r="CZ10" s="261"/>
      <c r="DA10" s="261"/>
      <c r="DB10" s="261"/>
      <c r="DC10" s="261"/>
      <c r="DD10" s="261"/>
      <c r="DE10" s="261"/>
      <c r="DF10" s="261"/>
      <c r="DG10" s="261"/>
      <c r="DH10" s="261"/>
      <c r="DI10" s="261"/>
      <c r="DJ10" s="261"/>
      <c r="DK10" s="261"/>
      <c r="DL10" s="261"/>
      <c r="DM10" s="261"/>
      <c r="DN10" s="261"/>
      <c r="DO10" s="261"/>
      <c r="DP10" s="261"/>
      <c r="DQ10" s="261"/>
      <c r="DR10" s="261"/>
      <c r="DS10" s="261"/>
      <c r="DT10" s="261"/>
      <c r="DU10" s="261"/>
      <c r="DV10" s="261"/>
      <c r="DW10" s="261"/>
      <c r="DX10" s="261"/>
      <c r="DY10" s="261"/>
      <c r="DZ10" s="261"/>
      <c r="EA10" s="261"/>
      <c r="EB10" s="261"/>
      <c r="EC10" s="261"/>
      <c r="ED10" s="261"/>
      <c r="EE10" s="261"/>
      <c r="EF10" s="261"/>
      <c r="EG10" s="261"/>
      <c r="EH10" s="261"/>
      <c r="EI10" s="261"/>
      <c r="EJ10" s="261"/>
      <c r="EK10" s="261"/>
      <c r="EL10" s="261"/>
      <c r="EM10" s="261"/>
      <c r="EN10" s="261"/>
      <c r="EO10" s="261"/>
      <c r="EP10" s="261"/>
      <c r="EQ10" s="261"/>
      <c r="ER10" s="261"/>
      <c r="ES10" s="261"/>
      <c r="ET10" s="261"/>
      <c r="EU10" s="261"/>
      <c r="EV10" s="261"/>
      <c r="EW10" s="261"/>
      <c r="EX10" s="261"/>
      <c r="EY10" s="261"/>
      <c r="EZ10" s="261"/>
      <c r="FA10" s="261"/>
      <c r="FB10" s="261"/>
      <c r="FC10" s="261"/>
      <c r="FD10" s="261"/>
      <c r="FE10" s="261"/>
      <c r="FF10" s="261"/>
      <c r="FG10" s="261"/>
      <c r="FH10" s="261"/>
      <c r="FI10" s="261"/>
      <c r="FJ10" s="261"/>
      <c r="FK10" s="261"/>
      <c r="FL10" s="261"/>
      <c r="FM10" s="261"/>
      <c r="FN10" s="261"/>
      <c r="FO10" s="261"/>
      <c r="FP10" s="261"/>
      <c r="FQ10" s="261"/>
      <c r="FR10" s="261"/>
      <c r="FS10" s="261"/>
      <c r="FT10" s="261"/>
      <c r="FU10" s="261"/>
      <c r="FV10" s="261"/>
      <c r="FW10" s="261"/>
      <c r="FX10" s="261"/>
      <c r="FY10" s="261"/>
      <c r="FZ10" s="261"/>
      <c r="GA10" s="261"/>
      <c r="GB10" s="261"/>
      <c r="GC10" s="261"/>
      <c r="GD10" s="261"/>
      <c r="GE10" s="261"/>
      <c r="GF10" s="261"/>
      <c r="GG10" s="261"/>
      <c r="GH10" s="261"/>
      <c r="GI10" s="261"/>
      <c r="GJ10" s="261"/>
      <c r="GK10" s="261"/>
      <c r="GL10" s="261"/>
      <c r="GM10" s="261"/>
      <c r="GN10" s="261"/>
      <c r="GO10" s="261"/>
      <c r="GP10" s="261"/>
      <c r="GQ10" s="261"/>
      <c r="GR10" s="261"/>
      <c r="GS10" s="261"/>
      <c r="GT10" s="261"/>
      <c r="GU10" s="261"/>
      <c r="GV10" s="261"/>
      <c r="GW10" s="261"/>
      <c r="GX10" s="261"/>
      <c r="GY10" s="261"/>
      <c r="GZ10" s="261"/>
      <c r="HA10" s="261"/>
      <c r="HB10" s="261"/>
      <c r="HC10" s="261"/>
      <c r="HD10" s="261"/>
      <c r="HE10" s="261"/>
      <c r="HF10" s="261"/>
      <c r="HG10" s="261"/>
      <c r="HH10" s="261"/>
      <c r="HI10" s="261"/>
      <c r="HJ10" s="261"/>
      <c r="HK10" s="261"/>
      <c r="HL10" s="261"/>
      <c r="HM10" s="261"/>
      <c r="HN10" s="261"/>
      <c r="HO10" s="261"/>
      <c r="HP10" s="261"/>
      <c r="HQ10" s="261"/>
      <c r="HR10" s="261"/>
      <c r="HS10" s="261"/>
      <c r="HT10" s="261"/>
      <c r="HU10" s="261"/>
      <c r="HV10" s="261"/>
      <c r="HW10" s="261"/>
      <c r="HX10" s="261"/>
      <c r="HY10" s="261"/>
      <c r="HZ10" s="261"/>
      <c r="IA10" s="261"/>
      <c r="IB10" s="261"/>
    </row>
    <row r="11" spans="1:236" s="264" customFormat="1" ht="15.75" customHeight="1">
      <c r="A11" s="327" t="s">
        <v>380</v>
      </c>
      <c r="B11" s="328" t="s">
        <v>2764</v>
      </c>
      <c r="C11" s="329"/>
      <c r="D11" s="325" t="s">
        <v>595</v>
      </c>
      <c r="E11" s="330"/>
      <c r="F11" s="330"/>
      <c r="G11" s="330"/>
      <c r="H11" s="330"/>
      <c r="I11" s="330"/>
      <c r="J11" s="330"/>
      <c r="K11" s="330"/>
      <c r="L11" s="330"/>
      <c r="M11" s="330"/>
      <c r="N11" s="330"/>
      <c r="O11" s="330"/>
      <c r="P11" s="263"/>
      <c r="Q11" s="261"/>
      <c r="R11" s="261"/>
      <c r="S11" s="261"/>
      <c r="T11" s="261"/>
      <c r="U11" s="261"/>
      <c r="V11" s="261"/>
      <c r="W11" s="261"/>
      <c r="X11" s="261"/>
      <c r="Y11" s="261"/>
      <c r="Z11" s="261"/>
      <c r="AA11" s="261"/>
      <c r="AB11" s="261"/>
      <c r="AC11" s="261"/>
      <c r="AD11" s="261"/>
      <c r="AE11" s="261"/>
      <c r="AF11" s="261"/>
      <c r="AG11" s="261"/>
      <c r="AH11" s="261"/>
      <c r="AI11" s="261"/>
      <c r="AJ11" s="261"/>
      <c r="AK11" s="261"/>
      <c r="AL11" s="261"/>
      <c r="AM11" s="261"/>
      <c r="AN11" s="261"/>
      <c r="AO11" s="261"/>
      <c r="AP11" s="261"/>
      <c r="AQ11" s="261"/>
      <c r="AR11" s="261"/>
      <c r="AS11" s="261"/>
      <c r="AT11" s="261"/>
      <c r="AU11" s="261"/>
      <c r="AV11" s="261"/>
      <c r="AW11" s="261"/>
      <c r="AX11" s="261"/>
      <c r="AY11" s="261"/>
      <c r="AZ11" s="261"/>
      <c r="BA11" s="261"/>
      <c r="BB11" s="261"/>
      <c r="BC11" s="261"/>
      <c r="BD11" s="261"/>
      <c r="BE11" s="261"/>
      <c r="BF11" s="261"/>
      <c r="BG11" s="261"/>
      <c r="BH11" s="261"/>
      <c r="BI11" s="261"/>
      <c r="BJ11" s="261"/>
      <c r="BK11" s="261"/>
      <c r="BL11" s="261"/>
      <c r="BM11" s="261"/>
      <c r="BN11" s="261"/>
      <c r="BO11" s="261"/>
      <c r="BP11" s="261"/>
      <c r="BQ11" s="261"/>
      <c r="BR11" s="261"/>
      <c r="BS11" s="261"/>
      <c r="BT11" s="261"/>
      <c r="BU11" s="261"/>
      <c r="BV11" s="261"/>
      <c r="BW11" s="261"/>
      <c r="BX11" s="261"/>
      <c r="BY11" s="261"/>
      <c r="BZ11" s="261"/>
      <c r="CA11" s="261"/>
      <c r="CB11" s="261"/>
      <c r="CC11" s="261"/>
      <c r="CD11" s="261"/>
      <c r="CE11" s="261"/>
      <c r="CF11" s="261"/>
      <c r="CG11" s="261"/>
      <c r="CH11" s="261"/>
      <c r="CI11" s="261"/>
      <c r="CJ11" s="261"/>
      <c r="CK11" s="261"/>
      <c r="CL11" s="261"/>
      <c r="CM11" s="261"/>
      <c r="CN11" s="261"/>
      <c r="CO11" s="261"/>
      <c r="CP11" s="261"/>
      <c r="CQ11" s="261"/>
      <c r="CR11" s="261"/>
      <c r="CS11" s="261"/>
      <c r="CT11" s="261"/>
      <c r="CU11" s="261"/>
      <c r="CV11" s="261"/>
      <c r="CW11" s="261"/>
      <c r="CX11" s="261"/>
      <c r="CY11" s="261"/>
      <c r="CZ11" s="261"/>
      <c r="DA11" s="261"/>
      <c r="DB11" s="261"/>
      <c r="DC11" s="261"/>
      <c r="DD11" s="261"/>
      <c r="DE11" s="261"/>
      <c r="DF11" s="261"/>
      <c r="DG11" s="261"/>
      <c r="DH11" s="261"/>
      <c r="DI11" s="261"/>
      <c r="DJ11" s="261"/>
      <c r="DK11" s="261"/>
      <c r="DL11" s="261"/>
      <c r="DM11" s="261"/>
      <c r="DN11" s="261"/>
      <c r="DO11" s="261"/>
      <c r="DP11" s="261"/>
      <c r="DQ11" s="261"/>
      <c r="DR11" s="261"/>
      <c r="DS11" s="261"/>
      <c r="DT11" s="261"/>
      <c r="DU11" s="261"/>
      <c r="DV11" s="261"/>
      <c r="DW11" s="261"/>
      <c r="DX11" s="261"/>
      <c r="DY11" s="261"/>
      <c r="DZ11" s="261"/>
      <c r="EA11" s="261"/>
      <c r="EB11" s="261"/>
      <c r="EC11" s="261"/>
      <c r="ED11" s="261"/>
      <c r="EE11" s="261"/>
      <c r="EF11" s="261"/>
      <c r="EG11" s="261"/>
      <c r="EH11" s="261"/>
      <c r="EI11" s="261"/>
      <c r="EJ11" s="261"/>
      <c r="EK11" s="261"/>
      <c r="EL11" s="261"/>
      <c r="EM11" s="261"/>
      <c r="EN11" s="261"/>
      <c r="EO11" s="261"/>
      <c r="EP11" s="261"/>
      <c r="EQ11" s="261"/>
      <c r="ER11" s="261"/>
      <c r="ES11" s="261"/>
      <c r="ET11" s="261"/>
      <c r="EU11" s="261"/>
      <c r="EV11" s="261"/>
      <c r="EW11" s="261"/>
      <c r="EX11" s="261"/>
      <c r="EY11" s="261"/>
      <c r="EZ11" s="261"/>
      <c r="FA11" s="261"/>
      <c r="FB11" s="261"/>
      <c r="FC11" s="261"/>
      <c r="FD11" s="261"/>
      <c r="FE11" s="261"/>
      <c r="FF11" s="261"/>
      <c r="FG11" s="261"/>
      <c r="FH11" s="261"/>
      <c r="FI11" s="261"/>
      <c r="FJ11" s="261"/>
      <c r="FK11" s="261"/>
      <c r="FL11" s="261"/>
      <c r="FM11" s="261"/>
      <c r="FN11" s="261"/>
      <c r="FO11" s="261"/>
      <c r="FP11" s="261"/>
      <c r="FQ11" s="261"/>
      <c r="FR11" s="261"/>
      <c r="FS11" s="261"/>
      <c r="FT11" s="261"/>
      <c r="FU11" s="261"/>
      <c r="FV11" s="261"/>
      <c r="FW11" s="261"/>
      <c r="FX11" s="261"/>
      <c r="FY11" s="261"/>
      <c r="FZ11" s="261"/>
      <c r="GA11" s="261"/>
      <c r="GB11" s="261"/>
      <c r="GC11" s="261"/>
      <c r="GD11" s="261"/>
      <c r="GE11" s="261"/>
      <c r="GF11" s="261"/>
      <c r="GG11" s="261"/>
      <c r="GH11" s="261"/>
      <c r="GI11" s="261"/>
      <c r="GJ11" s="261"/>
      <c r="GK11" s="261"/>
      <c r="GL11" s="261"/>
      <c r="GM11" s="261"/>
      <c r="GN11" s="261"/>
      <c r="GO11" s="261"/>
      <c r="GP11" s="261"/>
      <c r="GQ11" s="261"/>
      <c r="GR11" s="261"/>
      <c r="GS11" s="261"/>
      <c r="GT11" s="261"/>
      <c r="GU11" s="261"/>
      <c r="GV11" s="261"/>
      <c r="GW11" s="261"/>
      <c r="GX11" s="261"/>
      <c r="GY11" s="261"/>
      <c r="GZ11" s="261"/>
      <c r="HA11" s="261"/>
      <c r="HB11" s="261"/>
      <c r="HC11" s="261"/>
      <c r="HD11" s="261"/>
      <c r="HE11" s="261"/>
      <c r="HF11" s="261"/>
      <c r="HG11" s="261"/>
      <c r="HH11" s="261"/>
      <c r="HI11" s="261"/>
      <c r="HJ11" s="261"/>
      <c r="HK11" s="261"/>
      <c r="HL11" s="261"/>
      <c r="HM11" s="261"/>
      <c r="HN11" s="261"/>
      <c r="HO11" s="261"/>
      <c r="HP11" s="261"/>
      <c r="HQ11" s="261"/>
      <c r="HR11" s="261"/>
      <c r="HS11" s="261"/>
      <c r="HT11" s="261"/>
      <c r="HU11" s="261"/>
      <c r="HV11" s="261"/>
      <c r="HW11" s="261"/>
      <c r="HX11" s="261"/>
      <c r="HY11" s="261"/>
      <c r="HZ11" s="261"/>
      <c r="IA11" s="261"/>
      <c r="IB11" s="261"/>
    </row>
    <row r="12" spans="1:236" s="264" customFormat="1" ht="15.75" customHeight="1">
      <c r="A12" s="327"/>
      <c r="B12" s="331" t="s">
        <v>2761</v>
      </c>
      <c r="C12" s="331" t="s">
        <v>2576</v>
      </c>
      <c r="D12" s="325" t="s">
        <v>282</v>
      </c>
      <c r="E12" s="330">
        <v>1550</v>
      </c>
      <c r="F12" s="330"/>
      <c r="G12" s="330"/>
      <c r="H12" s="330">
        <v>1510</v>
      </c>
      <c r="I12" s="330">
        <v>1418</v>
      </c>
      <c r="J12" s="330"/>
      <c r="K12" s="330"/>
      <c r="L12" s="330"/>
      <c r="M12" s="330">
        <v>1400</v>
      </c>
      <c r="N12" s="330">
        <v>1610</v>
      </c>
      <c r="O12" s="330">
        <v>1370</v>
      </c>
      <c r="P12" s="263"/>
      <c r="Q12" s="261"/>
      <c r="R12" s="261"/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  <c r="AL12" s="261"/>
      <c r="AM12" s="261"/>
      <c r="AN12" s="261"/>
      <c r="AO12" s="261"/>
      <c r="AP12" s="261"/>
      <c r="AQ12" s="261"/>
      <c r="AR12" s="261"/>
      <c r="AS12" s="261"/>
      <c r="AT12" s="261"/>
      <c r="AU12" s="261"/>
      <c r="AV12" s="261"/>
      <c r="AW12" s="261"/>
      <c r="AX12" s="261"/>
      <c r="AY12" s="261"/>
      <c r="AZ12" s="261"/>
      <c r="BA12" s="261"/>
      <c r="BB12" s="261"/>
      <c r="BC12" s="261"/>
      <c r="BD12" s="261"/>
      <c r="BE12" s="261"/>
      <c r="BF12" s="261"/>
      <c r="BG12" s="261"/>
      <c r="BH12" s="261"/>
      <c r="BI12" s="261"/>
      <c r="BJ12" s="261"/>
      <c r="BK12" s="261"/>
      <c r="BL12" s="261"/>
      <c r="BM12" s="261"/>
      <c r="BN12" s="261"/>
      <c r="BO12" s="261"/>
      <c r="BP12" s="261"/>
      <c r="BQ12" s="261"/>
      <c r="BR12" s="261"/>
      <c r="BS12" s="261"/>
      <c r="BT12" s="261"/>
      <c r="BU12" s="261"/>
      <c r="BV12" s="261"/>
      <c r="BW12" s="261"/>
      <c r="BX12" s="261"/>
      <c r="BY12" s="261"/>
      <c r="BZ12" s="261"/>
      <c r="CA12" s="261"/>
      <c r="CB12" s="261"/>
      <c r="CC12" s="261"/>
      <c r="CD12" s="261"/>
      <c r="CE12" s="261"/>
      <c r="CF12" s="261"/>
      <c r="CG12" s="261"/>
      <c r="CH12" s="261"/>
      <c r="CI12" s="261"/>
      <c r="CJ12" s="261"/>
      <c r="CK12" s="261"/>
      <c r="CL12" s="261"/>
      <c r="CM12" s="261"/>
      <c r="CN12" s="261"/>
      <c r="CO12" s="261"/>
      <c r="CP12" s="261"/>
      <c r="CQ12" s="261"/>
      <c r="CR12" s="261"/>
      <c r="CS12" s="261"/>
      <c r="CT12" s="261"/>
      <c r="CU12" s="261"/>
      <c r="CV12" s="261"/>
      <c r="CW12" s="261"/>
      <c r="CX12" s="261"/>
      <c r="CY12" s="261"/>
      <c r="CZ12" s="261"/>
      <c r="DA12" s="261"/>
      <c r="DB12" s="261"/>
      <c r="DC12" s="261"/>
      <c r="DD12" s="261"/>
      <c r="DE12" s="261"/>
      <c r="DF12" s="261"/>
      <c r="DG12" s="261"/>
      <c r="DH12" s="261"/>
      <c r="DI12" s="261"/>
      <c r="DJ12" s="261"/>
      <c r="DK12" s="261"/>
      <c r="DL12" s="261"/>
      <c r="DM12" s="261"/>
      <c r="DN12" s="261"/>
      <c r="DO12" s="261"/>
      <c r="DP12" s="261"/>
      <c r="DQ12" s="261"/>
      <c r="DR12" s="261"/>
      <c r="DS12" s="261"/>
      <c r="DT12" s="261"/>
      <c r="DU12" s="261"/>
      <c r="DV12" s="261"/>
      <c r="DW12" s="261"/>
      <c r="DX12" s="261"/>
      <c r="DY12" s="261"/>
      <c r="DZ12" s="261"/>
      <c r="EA12" s="261"/>
      <c r="EB12" s="261"/>
      <c r="EC12" s="261"/>
      <c r="ED12" s="261"/>
      <c r="EE12" s="261"/>
      <c r="EF12" s="261"/>
      <c r="EG12" s="261"/>
      <c r="EH12" s="261"/>
      <c r="EI12" s="261"/>
      <c r="EJ12" s="261"/>
      <c r="EK12" s="261"/>
      <c r="EL12" s="261"/>
      <c r="EM12" s="261"/>
      <c r="EN12" s="261"/>
      <c r="EO12" s="261"/>
      <c r="EP12" s="261"/>
      <c r="EQ12" s="261"/>
      <c r="ER12" s="261"/>
      <c r="ES12" s="261"/>
      <c r="ET12" s="261"/>
      <c r="EU12" s="261"/>
      <c r="EV12" s="261"/>
      <c r="EW12" s="261"/>
      <c r="EX12" s="261"/>
      <c r="EY12" s="261"/>
      <c r="EZ12" s="261"/>
      <c r="FA12" s="261"/>
      <c r="FB12" s="261"/>
      <c r="FC12" s="261"/>
      <c r="FD12" s="261"/>
      <c r="FE12" s="261"/>
      <c r="FF12" s="261"/>
      <c r="FG12" s="261"/>
      <c r="FH12" s="261"/>
      <c r="FI12" s="261"/>
      <c r="FJ12" s="261"/>
      <c r="FK12" s="261"/>
      <c r="FL12" s="261"/>
      <c r="FM12" s="261"/>
      <c r="FN12" s="261"/>
      <c r="FO12" s="261"/>
      <c r="FP12" s="261"/>
      <c r="FQ12" s="261"/>
      <c r="FR12" s="261"/>
      <c r="FS12" s="261"/>
      <c r="FT12" s="261"/>
      <c r="FU12" s="261"/>
      <c r="FV12" s="261"/>
      <c r="FW12" s="261"/>
      <c r="FX12" s="261"/>
      <c r="FY12" s="261"/>
      <c r="FZ12" s="261"/>
      <c r="GA12" s="261"/>
      <c r="GB12" s="261"/>
      <c r="GC12" s="261"/>
      <c r="GD12" s="261"/>
      <c r="GE12" s="261"/>
      <c r="GF12" s="261"/>
      <c r="GG12" s="261"/>
      <c r="GH12" s="261"/>
      <c r="GI12" s="261"/>
      <c r="GJ12" s="261"/>
      <c r="GK12" s="261"/>
      <c r="GL12" s="261"/>
      <c r="GM12" s="261"/>
      <c r="GN12" s="261"/>
      <c r="GO12" s="261"/>
      <c r="GP12" s="261"/>
      <c r="GQ12" s="261"/>
      <c r="GR12" s="261"/>
      <c r="GS12" s="261"/>
      <c r="GT12" s="261"/>
      <c r="GU12" s="261"/>
      <c r="GV12" s="261"/>
      <c r="GW12" s="261"/>
      <c r="GX12" s="261"/>
      <c r="GY12" s="261"/>
      <c r="GZ12" s="261"/>
      <c r="HA12" s="261"/>
      <c r="HB12" s="261"/>
      <c r="HC12" s="261"/>
      <c r="HD12" s="261"/>
      <c r="HE12" s="261"/>
      <c r="HF12" s="261"/>
      <c r="HG12" s="261"/>
      <c r="HH12" s="261"/>
      <c r="HI12" s="261"/>
      <c r="HJ12" s="261"/>
      <c r="HK12" s="261"/>
      <c r="HL12" s="261"/>
      <c r="HM12" s="261"/>
      <c r="HN12" s="261"/>
      <c r="HO12" s="261"/>
      <c r="HP12" s="261"/>
      <c r="HQ12" s="261"/>
      <c r="HR12" s="261"/>
      <c r="HS12" s="261"/>
      <c r="HT12" s="261"/>
      <c r="HU12" s="261"/>
      <c r="HV12" s="261"/>
      <c r="HW12" s="261"/>
      <c r="HX12" s="261"/>
      <c r="HY12" s="261"/>
      <c r="HZ12" s="261"/>
      <c r="IA12" s="261"/>
      <c r="IB12" s="261"/>
    </row>
    <row r="13" spans="1:236" s="264" customFormat="1" ht="15.75" customHeight="1">
      <c r="A13" s="327"/>
      <c r="B13" s="331" t="s">
        <v>2762</v>
      </c>
      <c r="C13" s="331" t="s">
        <v>2576</v>
      </c>
      <c r="D13" s="325" t="s">
        <v>282</v>
      </c>
      <c r="E13" s="330">
        <v>1610</v>
      </c>
      <c r="F13" s="330"/>
      <c r="G13" s="330"/>
      <c r="H13" s="330">
        <v>1610</v>
      </c>
      <c r="I13" s="330">
        <v>1510</v>
      </c>
      <c r="J13" s="330"/>
      <c r="K13" s="330"/>
      <c r="L13" s="330"/>
      <c r="M13" s="330">
        <v>1450</v>
      </c>
      <c r="N13" s="330">
        <v>1650</v>
      </c>
      <c r="O13" s="330">
        <v>1410</v>
      </c>
      <c r="P13" s="263"/>
      <c r="Q13" s="261"/>
      <c r="R13" s="261"/>
      <c r="S13" s="261"/>
      <c r="T13" s="261"/>
      <c r="U13" s="261"/>
      <c r="V13" s="261"/>
      <c r="W13" s="261"/>
      <c r="X13" s="261"/>
      <c r="Y13" s="261"/>
      <c r="Z13" s="261"/>
      <c r="AA13" s="261"/>
      <c r="AB13" s="261"/>
      <c r="AC13" s="261"/>
      <c r="AD13" s="261"/>
      <c r="AE13" s="261"/>
      <c r="AF13" s="261"/>
      <c r="AG13" s="261"/>
      <c r="AH13" s="261"/>
      <c r="AI13" s="261"/>
      <c r="AJ13" s="261"/>
      <c r="AK13" s="261"/>
      <c r="AL13" s="261"/>
      <c r="AM13" s="261"/>
      <c r="AN13" s="261"/>
      <c r="AO13" s="261"/>
      <c r="AP13" s="261"/>
      <c r="AQ13" s="261"/>
      <c r="AR13" s="261"/>
      <c r="AS13" s="261"/>
      <c r="AT13" s="261"/>
      <c r="AU13" s="261"/>
      <c r="AV13" s="261"/>
      <c r="AW13" s="261"/>
      <c r="AX13" s="261"/>
      <c r="AY13" s="261"/>
      <c r="AZ13" s="261"/>
      <c r="BA13" s="261"/>
      <c r="BB13" s="261"/>
      <c r="BC13" s="261"/>
      <c r="BD13" s="261"/>
      <c r="BE13" s="261"/>
      <c r="BF13" s="261"/>
      <c r="BG13" s="261"/>
      <c r="BH13" s="261"/>
      <c r="BI13" s="261"/>
      <c r="BJ13" s="261"/>
      <c r="BK13" s="261"/>
      <c r="BL13" s="261"/>
      <c r="BM13" s="261"/>
      <c r="BN13" s="261"/>
      <c r="BO13" s="261"/>
      <c r="BP13" s="261"/>
      <c r="BQ13" s="261"/>
      <c r="BR13" s="261"/>
      <c r="BS13" s="261"/>
      <c r="BT13" s="261"/>
      <c r="BU13" s="261"/>
      <c r="BV13" s="261"/>
      <c r="BW13" s="261"/>
      <c r="BX13" s="261"/>
      <c r="BY13" s="261"/>
      <c r="BZ13" s="261"/>
      <c r="CA13" s="261"/>
      <c r="CB13" s="261"/>
      <c r="CC13" s="261"/>
      <c r="CD13" s="261"/>
      <c r="CE13" s="261"/>
      <c r="CF13" s="261"/>
      <c r="CG13" s="261"/>
      <c r="CH13" s="261"/>
      <c r="CI13" s="261"/>
      <c r="CJ13" s="261"/>
      <c r="CK13" s="261"/>
      <c r="CL13" s="261"/>
      <c r="CM13" s="261"/>
      <c r="CN13" s="261"/>
      <c r="CO13" s="261"/>
      <c r="CP13" s="261"/>
      <c r="CQ13" s="261"/>
      <c r="CR13" s="261"/>
      <c r="CS13" s="261"/>
      <c r="CT13" s="261"/>
      <c r="CU13" s="261"/>
      <c r="CV13" s="261"/>
      <c r="CW13" s="261"/>
      <c r="CX13" s="261"/>
      <c r="CY13" s="261"/>
      <c r="CZ13" s="261"/>
      <c r="DA13" s="261"/>
      <c r="DB13" s="261"/>
      <c r="DC13" s="261"/>
      <c r="DD13" s="261"/>
      <c r="DE13" s="261"/>
      <c r="DF13" s="261"/>
      <c r="DG13" s="261"/>
      <c r="DH13" s="261"/>
      <c r="DI13" s="261"/>
      <c r="DJ13" s="261"/>
      <c r="DK13" s="261"/>
      <c r="DL13" s="261"/>
      <c r="DM13" s="261"/>
      <c r="DN13" s="261"/>
      <c r="DO13" s="261"/>
      <c r="DP13" s="261"/>
      <c r="DQ13" s="261"/>
      <c r="DR13" s="261"/>
      <c r="DS13" s="261"/>
      <c r="DT13" s="261"/>
      <c r="DU13" s="261"/>
      <c r="DV13" s="261"/>
      <c r="DW13" s="261"/>
      <c r="DX13" s="261"/>
      <c r="DY13" s="261"/>
      <c r="DZ13" s="261"/>
      <c r="EA13" s="261"/>
      <c r="EB13" s="261"/>
      <c r="EC13" s="261"/>
      <c r="ED13" s="261"/>
      <c r="EE13" s="261"/>
      <c r="EF13" s="261"/>
      <c r="EG13" s="261"/>
      <c r="EH13" s="261"/>
      <c r="EI13" s="261"/>
      <c r="EJ13" s="261"/>
      <c r="EK13" s="261"/>
      <c r="EL13" s="261"/>
      <c r="EM13" s="261"/>
      <c r="EN13" s="261"/>
      <c r="EO13" s="261"/>
      <c r="EP13" s="261"/>
      <c r="EQ13" s="261"/>
      <c r="ER13" s="261"/>
      <c r="ES13" s="261"/>
      <c r="ET13" s="261"/>
      <c r="EU13" s="261"/>
      <c r="EV13" s="261"/>
      <c r="EW13" s="261"/>
      <c r="EX13" s="261"/>
      <c r="EY13" s="261"/>
      <c r="EZ13" s="261"/>
      <c r="FA13" s="261"/>
      <c r="FB13" s="261"/>
      <c r="FC13" s="261"/>
      <c r="FD13" s="261"/>
      <c r="FE13" s="261"/>
      <c r="FF13" s="261"/>
      <c r="FG13" s="261"/>
      <c r="FH13" s="261"/>
      <c r="FI13" s="261"/>
      <c r="FJ13" s="261"/>
      <c r="FK13" s="261"/>
      <c r="FL13" s="261"/>
      <c r="FM13" s="261"/>
      <c r="FN13" s="261"/>
      <c r="FO13" s="261"/>
      <c r="FP13" s="261"/>
      <c r="FQ13" s="261"/>
      <c r="FR13" s="261"/>
      <c r="FS13" s="261"/>
      <c r="FT13" s="261"/>
      <c r="FU13" s="261"/>
      <c r="FV13" s="261"/>
      <c r="FW13" s="261"/>
      <c r="FX13" s="261"/>
      <c r="FY13" s="261"/>
      <c r="FZ13" s="261"/>
      <c r="GA13" s="261"/>
      <c r="GB13" s="261"/>
      <c r="GC13" s="261"/>
      <c r="GD13" s="261"/>
      <c r="GE13" s="261"/>
      <c r="GF13" s="261"/>
      <c r="GG13" s="261"/>
      <c r="GH13" s="261"/>
      <c r="GI13" s="261"/>
      <c r="GJ13" s="261"/>
      <c r="GK13" s="261"/>
      <c r="GL13" s="261"/>
      <c r="GM13" s="261"/>
      <c r="GN13" s="261"/>
      <c r="GO13" s="261"/>
      <c r="GP13" s="261"/>
      <c r="GQ13" s="261"/>
      <c r="GR13" s="261"/>
      <c r="GS13" s="261"/>
      <c r="GT13" s="261"/>
      <c r="GU13" s="261"/>
      <c r="GV13" s="261"/>
      <c r="GW13" s="261"/>
      <c r="GX13" s="261"/>
      <c r="GY13" s="261"/>
      <c r="GZ13" s="261"/>
      <c r="HA13" s="261"/>
      <c r="HB13" s="261"/>
      <c r="HC13" s="261"/>
      <c r="HD13" s="261"/>
      <c r="HE13" s="261"/>
      <c r="HF13" s="261"/>
      <c r="HG13" s="261"/>
      <c r="HH13" s="261"/>
      <c r="HI13" s="261"/>
      <c r="HJ13" s="261"/>
      <c r="HK13" s="261"/>
      <c r="HL13" s="261"/>
      <c r="HM13" s="261"/>
      <c r="HN13" s="261"/>
      <c r="HO13" s="261"/>
      <c r="HP13" s="261"/>
      <c r="HQ13" s="261"/>
      <c r="HR13" s="261"/>
      <c r="HS13" s="261"/>
      <c r="HT13" s="261"/>
      <c r="HU13" s="261"/>
      <c r="HV13" s="261"/>
      <c r="HW13" s="261"/>
      <c r="HX13" s="261"/>
      <c r="HY13" s="261"/>
      <c r="HZ13" s="261"/>
      <c r="IA13" s="261"/>
      <c r="IB13" s="261"/>
    </row>
    <row r="14" spans="1:236" s="264" customFormat="1" ht="15.75" customHeight="1">
      <c r="A14" s="327" t="s">
        <v>380</v>
      </c>
      <c r="B14" s="328" t="s">
        <v>2573</v>
      </c>
      <c r="C14" s="329"/>
      <c r="D14" s="325" t="s">
        <v>595</v>
      </c>
      <c r="E14" s="326"/>
      <c r="F14" s="326"/>
      <c r="G14" s="326"/>
      <c r="H14" s="326"/>
      <c r="I14" s="326"/>
      <c r="J14" s="326"/>
      <c r="K14" s="326"/>
      <c r="L14" s="326"/>
      <c r="M14" s="326"/>
      <c r="N14" s="326"/>
      <c r="O14" s="326"/>
      <c r="P14" s="263"/>
      <c r="Q14" s="261"/>
      <c r="R14" s="261"/>
      <c r="S14" s="261"/>
      <c r="T14" s="261"/>
      <c r="U14" s="261"/>
      <c r="V14" s="261"/>
      <c r="W14" s="261"/>
      <c r="X14" s="261"/>
      <c r="Y14" s="261"/>
      <c r="Z14" s="261"/>
      <c r="AA14" s="261"/>
      <c r="AB14" s="261"/>
      <c r="AC14" s="261"/>
      <c r="AD14" s="261"/>
      <c r="AE14" s="261"/>
      <c r="AF14" s="261"/>
      <c r="AG14" s="261"/>
      <c r="AH14" s="261"/>
      <c r="AI14" s="261"/>
      <c r="AJ14" s="261"/>
      <c r="AK14" s="261"/>
      <c r="AL14" s="261"/>
      <c r="AM14" s="261"/>
      <c r="AN14" s="261"/>
      <c r="AO14" s="261"/>
      <c r="AP14" s="261"/>
      <c r="AQ14" s="261"/>
      <c r="AR14" s="261"/>
      <c r="AS14" s="261"/>
      <c r="AT14" s="261"/>
      <c r="AU14" s="261"/>
      <c r="AV14" s="261"/>
      <c r="AW14" s="261"/>
      <c r="AX14" s="261"/>
      <c r="AY14" s="261"/>
      <c r="AZ14" s="261"/>
      <c r="BA14" s="261"/>
      <c r="BB14" s="261"/>
      <c r="BC14" s="261"/>
      <c r="BD14" s="261"/>
      <c r="BE14" s="261"/>
      <c r="BF14" s="261"/>
      <c r="BG14" s="261"/>
      <c r="BH14" s="261"/>
      <c r="BI14" s="261"/>
      <c r="BJ14" s="261"/>
      <c r="BK14" s="261"/>
      <c r="BL14" s="261"/>
      <c r="BM14" s="261"/>
      <c r="BN14" s="261"/>
      <c r="BO14" s="261"/>
      <c r="BP14" s="261"/>
      <c r="BQ14" s="261"/>
      <c r="BR14" s="261"/>
      <c r="BS14" s="261"/>
      <c r="BT14" s="261"/>
      <c r="BU14" s="261"/>
      <c r="BV14" s="261"/>
      <c r="BW14" s="261"/>
      <c r="BX14" s="261"/>
      <c r="BY14" s="261"/>
      <c r="BZ14" s="261"/>
      <c r="CA14" s="261"/>
      <c r="CB14" s="261"/>
      <c r="CC14" s="261"/>
      <c r="CD14" s="261"/>
      <c r="CE14" s="261"/>
      <c r="CF14" s="261"/>
      <c r="CG14" s="261"/>
      <c r="CH14" s="261"/>
      <c r="CI14" s="261"/>
      <c r="CJ14" s="261"/>
      <c r="CK14" s="261"/>
      <c r="CL14" s="261"/>
      <c r="CM14" s="261"/>
      <c r="CN14" s="261"/>
      <c r="CO14" s="261"/>
      <c r="CP14" s="261"/>
      <c r="CQ14" s="261"/>
      <c r="CR14" s="261"/>
      <c r="CS14" s="261"/>
      <c r="CT14" s="261"/>
      <c r="CU14" s="261"/>
      <c r="CV14" s="261"/>
      <c r="CW14" s="261"/>
      <c r="CX14" s="261"/>
      <c r="CY14" s="261"/>
      <c r="CZ14" s="261"/>
      <c r="DA14" s="261"/>
      <c r="DB14" s="261"/>
      <c r="DC14" s="261"/>
      <c r="DD14" s="261"/>
      <c r="DE14" s="261"/>
      <c r="DF14" s="261"/>
      <c r="DG14" s="261"/>
      <c r="DH14" s="261"/>
      <c r="DI14" s="261"/>
      <c r="DJ14" s="261"/>
      <c r="DK14" s="261"/>
      <c r="DL14" s="261"/>
      <c r="DM14" s="261"/>
      <c r="DN14" s="261"/>
      <c r="DO14" s="261"/>
      <c r="DP14" s="261"/>
      <c r="DQ14" s="261"/>
      <c r="DR14" s="261"/>
      <c r="DS14" s="261"/>
      <c r="DT14" s="261"/>
      <c r="DU14" s="261"/>
      <c r="DV14" s="261"/>
      <c r="DW14" s="261"/>
      <c r="DX14" s="261"/>
      <c r="DY14" s="261"/>
      <c r="DZ14" s="261"/>
      <c r="EA14" s="261"/>
      <c r="EB14" s="261"/>
      <c r="EC14" s="261"/>
      <c r="ED14" s="261"/>
      <c r="EE14" s="261"/>
      <c r="EF14" s="261"/>
      <c r="EG14" s="261"/>
      <c r="EH14" s="261"/>
      <c r="EI14" s="261"/>
      <c r="EJ14" s="261"/>
      <c r="EK14" s="261"/>
      <c r="EL14" s="261"/>
      <c r="EM14" s="261"/>
      <c r="EN14" s="261"/>
      <c r="EO14" s="261"/>
      <c r="EP14" s="261"/>
      <c r="EQ14" s="261"/>
      <c r="ER14" s="261"/>
      <c r="ES14" s="261"/>
      <c r="ET14" s="261"/>
      <c r="EU14" s="261"/>
      <c r="EV14" s="261"/>
      <c r="EW14" s="261"/>
      <c r="EX14" s="261"/>
      <c r="EY14" s="261"/>
      <c r="EZ14" s="261"/>
      <c r="FA14" s="261"/>
      <c r="FB14" s="261"/>
      <c r="FC14" s="261"/>
      <c r="FD14" s="261"/>
      <c r="FE14" s="261"/>
      <c r="FF14" s="261"/>
      <c r="FG14" s="261"/>
      <c r="FH14" s="261"/>
      <c r="FI14" s="261"/>
      <c r="FJ14" s="261"/>
      <c r="FK14" s="261"/>
      <c r="FL14" s="261"/>
      <c r="FM14" s="261"/>
      <c r="FN14" s="261"/>
      <c r="FO14" s="261"/>
      <c r="FP14" s="261"/>
      <c r="FQ14" s="261"/>
      <c r="FR14" s="261"/>
      <c r="FS14" s="261"/>
      <c r="FT14" s="261"/>
      <c r="FU14" s="261"/>
      <c r="FV14" s="261"/>
      <c r="FW14" s="261"/>
      <c r="FX14" s="261"/>
      <c r="FY14" s="261"/>
      <c r="FZ14" s="261"/>
      <c r="GA14" s="261"/>
      <c r="GB14" s="261"/>
      <c r="GC14" s="261"/>
      <c r="GD14" s="261"/>
      <c r="GE14" s="261"/>
      <c r="GF14" s="261"/>
      <c r="GG14" s="261"/>
      <c r="GH14" s="261"/>
      <c r="GI14" s="261"/>
      <c r="GJ14" s="261"/>
      <c r="GK14" s="261"/>
      <c r="GL14" s="261"/>
      <c r="GM14" s="261"/>
      <c r="GN14" s="261"/>
      <c r="GO14" s="261"/>
      <c r="GP14" s="261"/>
      <c r="GQ14" s="261"/>
      <c r="GR14" s="261"/>
      <c r="GS14" s="261"/>
      <c r="GT14" s="261"/>
      <c r="GU14" s="261"/>
      <c r="GV14" s="261"/>
      <c r="GW14" s="261"/>
      <c r="GX14" s="261"/>
      <c r="GY14" s="261"/>
      <c r="GZ14" s="261"/>
      <c r="HA14" s="261"/>
      <c r="HB14" s="261"/>
      <c r="HC14" s="261"/>
      <c r="HD14" s="261"/>
      <c r="HE14" s="261"/>
      <c r="HF14" s="261"/>
      <c r="HG14" s="261"/>
      <c r="HH14" s="261"/>
      <c r="HI14" s="261"/>
      <c r="HJ14" s="261"/>
      <c r="HK14" s="261"/>
      <c r="HL14" s="261"/>
      <c r="HM14" s="261"/>
      <c r="HN14" s="261"/>
      <c r="HO14" s="261"/>
      <c r="HP14" s="261"/>
      <c r="HQ14" s="261"/>
      <c r="HR14" s="261"/>
      <c r="HS14" s="261"/>
      <c r="HT14" s="261"/>
      <c r="HU14" s="261"/>
      <c r="HV14" s="261"/>
      <c r="HW14" s="261"/>
      <c r="HX14" s="261"/>
      <c r="HY14" s="261"/>
      <c r="HZ14" s="261"/>
      <c r="IA14" s="261"/>
      <c r="IB14" s="261"/>
    </row>
    <row r="15" spans="1:236" s="264" customFormat="1" ht="15.75" customHeight="1">
      <c r="A15" s="327"/>
      <c r="B15" s="332" t="s">
        <v>2814</v>
      </c>
      <c r="C15" s="331" t="s">
        <v>2575</v>
      </c>
      <c r="D15" s="325" t="s">
        <v>282</v>
      </c>
      <c r="E15" s="326">
        <v>1350</v>
      </c>
      <c r="F15" s="326">
        <v>1350</v>
      </c>
      <c r="G15" s="326">
        <v>1330</v>
      </c>
      <c r="H15" s="326">
        <v>1330</v>
      </c>
      <c r="I15" s="326">
        <v>1350</v>
      </c>
      <c r="J15" s="326">
        <v>1350</v>
      </c>
      <c r="K15" s="326">
        <v>1320</v>
      </c>
      <c r="L15" s="326">
        <v>1300</v>
      </c>
      <c r="M15" s="326">
        <v>1350</v>
      </c>
      <c r="N15" s="326">
        <v>1350</v>
      </c>
      <c r="O15" s="326">
        <v>1350</v>
      </c>
      <c r="P15" s="263"/>
      <c r="Q15" s="261"/>
      <c r="R15" s="261"/>
      <c r="S15" s="261"/>
      <c r="T15" s="261"/>
      <c r="U15" s="261"/>
      <c r="V15" s="261"/>
      <c r="W15" s="261"/>
      <c r="X15" s="261"/>
      <c r="Y15" s="261"/>
      <c r="Z15" s="261"/>
      <c r="AA15" s="261"/>
      <c r="AB15" s="261"/>
      <c r="AC15" s="261"/>
      <c r="AD15" s="261"/>
      <c r="AE15" s="261"/>
      <c r="AF15" s="261"/>
      <c r="AG15" s="261"/>
      <c r="AH15" s="261"/>
      <c r="AI15" s="261"/>
      <c r="AJ15" s="261"/>
      <c r="AK15" s="261"/>
      <c r="AL15" s="261"/>
      <c r="AM15" s="261"/>
      <c r="AN15" s="261"/>
      <c r="AO15" s="261"/>
      <c r="AP15" s="261"/>
      <c r="AQ15" s="261"/>
      <c r="AR15" s="261"/>
      <c r="AS15" s="261"/>
      <c r="AT15" s="261"/>
      <c r="AU15" s="261"/>
      <c r="AV15" s="261"/>
      <c r="AW15" s="261"/>
      <c r="AX15" s="261"/>
      <c r="AY15" s="261"/>
      <c r="AZ15" s="261"/>
      <c r="BA15" s="261"/>
      <c r="BB15" s="261"/>
      <c r="BC15" s="261"/>
      <c r="BD15" s="261"/>
      <c r="BE15" s="261"/>
      <c r="BF15" s="261"/>
      <c r="BG15" s="261"/>
      <c r="BH15" s="261"/>
      <c r="BI15" s="261"/>
      <c r="BJ15" s="261"/>
      <c r="BK15" s="261"/>
      <c r="BL15" s="261"/>
      <c r="BM15" s="261"/>
      <c r="BN15" s="261"/>
      <c r="BO15" s="261"/>
      <c r="BP15" s="261"/>
      <c r="BQ15" s="261"/>
      <c r="BR15" s="261"/>
      <c r="BS15" s="261"/>
      <c r="BT15" s="261"/>
      <c r="BU15" s="261"/>
      <c r="BV15" s="261"/>
      <c r="BW15" s="261"/>
      <c r="BX15" s="261"/>
      <c r="BY15" s="261"/>
      <c r="BZ15" s="261"/>
      <c r="CA15" s="261"/>
      <c r="CB15" s="261"/>
      <c r="CC15" s="261"/>
      <c r="CD15" s="261"/>
      <c r="CE15" s="261"/>
      <c r="CF15" s="261"/>
      <c r="CG15" s="261"/>
      <c r="CH15" s="261"/>
      <c r="CI15" s="261"/>
      <c r="CJ15" s="261"/>
      <c r="CK15" s="261"/>
      <c r="CL15" s="261"/>
      <c r="CM15" s="261"/>
      <c r="CN15" s="261"/>
      <c r="CO15" s="261"/>
      <c r="CP15" s="261"/>
      <c r="CQ15" s="261"/>
      <c r="CR15" s="261"/>
      <c r="CS15" s="261"/>
      <c r="CT15" s="261"/>
      <c r="CU15" s="261"/>
      <c r="CV15" s="261"/>
      <c r="CW15" s="261"/>
      <c r="CX15" s="261"/>
      <c r="CY15" s="261"/>
      <c r="CZ15" s="261"/>
      <c r="DA15" s="261"/>
      <c r="DB15" s="261"/>
      <c r="DC15" s="261"/>
      <c r="DD15" s="261"/>
      <c r="DE15" s="261"/>
      <c r="DF15" s="261"/>
      <c r="DG15" s="261"/>
      <c r="DH15" s="261"/>
      <c r="DI15" s="261"/>
      <c r="DJ15" s="261"/>
      <c r="DK15" s="261"/>
      <c r="DL15" s="261"/>
      <c r="DM15" s="261"/>
      <c r="DN15" s="261"/>
      <c r="DO15" s="261"/>
      <c r="DP15" s="261"/>
      <c r="DQ15" s="261"/>
      <c r="DR15" s="261"/>
      <c r="DS15" s="261"/>
      <c r="DT15" s="261"/>
      <c r="DU15" s="261"/>
      <c r="DV15" s="261"/>
      <c r="DW15" s="261"/>
      <c r="DX15" s="261"/>
      <c r="DY15" s="261"/>
      <c r="DZ15" s="261"/>
      <c r="EA15" s="261"/>
      <c r="EB15" s="261"/>
      <c r="EC15" s="261"/>
      <c r="ED15" s="261"/>
      <c r="EE15" s="261"/>
      <c r="EF15" s="261"/>
      <c r="EG15" s="261"/>
      <c r="EH15" s="261"/>
      <c r="EI15" s="261"/>
      <c r="EJ15" s="261"/>
      <c r="EK15" s="261"/>
      <c r="EL15" s="261"/>
      <c r="EM15" s="261"/>
      <c r="EN15" s="261"/>
      <c r="EO15" s="261"/>
      <c r="EP15" s="261"/>
      <c r="EQ15" s="261"/>
      <c r="ER15" s="261"/>
      <c r="ES15" s="261"/>
      <c r="ET15" s="261"/>
      <c r="EU15" s="261"/>
      <c r="EV15" s="261"/>
      <c r="EW15" s="261"/>
      <c r="EX15" s="261"/>
      <c r="EY15" s="261"/>
      <c r="EZ15" s="261"/>
      <c r="FA15" s="261"/>
      <c r="FB15" s="261"/>
      <c r="FC15" s="261"/>
      <c r="FD15" s="261"/>
      <c r="FE15" s="261"/>
      <c r="FF15" s="261"/>
      <c r="FG15" s="261"/>
      <c r="FH15" s="261"/>
      <c r="FI15" s="261"/>
      <c r="FJ15" s="261"/>
      <c r="FK15" s="261"/>
      <c r="FL15" s="261"/>
      <c r="FM15" s="261"/>
      <c r="FN15" s="261"/>
      <c r="FO15" s="261"/>
      <c r="FP15" s="261"/>
      <c r="FQ15" s="261"/>
      <c r="FR15" s="261"/>
      <c r="FS15" s="261"/>
      <c r="FT15" s="261"/>
      <c r="FU15" s="261"/>
      <c r="FV15" s="261"/>
      <c r="FW15" s="261"/>
      <c r="FX15" s="261"/>
      <c r="FY15" s="261"/>
      <c r="FZ15" s="261"/>
      <c r="GA15" s="261"/>
      <c r="GB15" s="261"/>
      <c r="GC15" s="261"/>
      <c r="GD15" s="261"/>
      <c r="GE15" s="261"/>
      <c r="GF15" s="261"/>
      <c r="GG15" s="261"/>
      <c r="GH15" s="261"/>
      <c r="GI15" s="261"/>
      <c r="GJ15" s="261"/>
      <c r="GK15" s="261"/>
      <c r="GL15" s="261"/>
      <c r="GM15" s="261"/>
      <c r="GN15" s="261"/>
      <c r="GO15" s="261"/>
      <c r="GP15" s="261"/>
      <c r="GQ15" s="261"/>
      <c r="GR15" s="261"/>
      <c r="GS15" s="261"/>
      <c r="GT15" s="261"/>
      <c r="GU15" s="261"/>
      <c r="GV15" s="261"/>
      <c r="GW15" s="261"/>
      <c r="GX15" s="261"/>
      <c r="GY15" s="261"/>
      <c r="GZ15" s="261"/>
      <c r="HA15" s="261"/>
      <c r="HB15" s="261"/>
      <c r="HC15" s="261"/>
      <c r="HD15" s="261"/>
      <c r="HE15" s="261"/>
      <c r="HF15" s="261"/>
      <c r="HG15" s="261"/>
      <c r="HH15" s="261"/>
      <c r="HI15" s="261"/>
      <c r="HJ15" s="261"/>
      <c r="HK15" s="261"/>
      <c r="HL15" s="261"/>
      <c r="HM15" s="261"/>
      <c r="HN15" s="261"/>
      <c r="HO15" s="261"/>
      <c r="HP15" s="261"/>
      <c r="HQ15" s="261"/>
      <c r="HR15" s="261"/>
      <c r="HS15" s="261"/>
      <c r="HT15" s="261"/>
      <c r="HU15" s="261"/>
      <c r="HV15" s="261"/>
      <c r="HW15" s="261"/>
      <c r="HX15" s="261"/>
      <c r="HY15" s="261"/>
      <c r="HZ15" s="261"/>
      <c r="IA15" s="261"/>
      <c r="IB15" s="261"/>
    </row>
    <row r="16" spans="1:236" s="264" customFormat="1" ht="15.75" customHeight="1">
      <c r="A16" s="327"/>
      <c r="B16" s="332" t="s">
        <v>2815</v>
      </c>
      <c r="C16" s="331" t="s">
        <v>2576</v>
      </c>
      <c r="D16" s="325" t="s">
        <v>282</v>
      </c>
      <c r="E16" s="326">
        <v>1450</v>
      </c>
      <c r="F16" s="326">
        <v>1450</v>
      </c>
      <c r="G16" s="326">
        <v>1400</v>
      </c>
      <c r="H16" s="326">
        <v>1400</v>
      </c>
      <c r="I16" s="326">
        <v>1450</v>
      </c>
      <c r="J16" s="326">
        <v>1450</v>
      </c>
      <c r="K16" s="326">
        <v>1390</v>
      </c>
      <c r="L16" s="326">
        <v>1370</v>
      </c>
      <c r="M16" s="326">
        <v>1450</v>
      </c>
      <c r="N16" s="326">
        <v>1450</v>
      </c>
      <c r="O16" s="326">
        <v>1450</v>
      </c>
      <c r="P16" s="263"/>
      <c r="Q16" s="261"/>
      <c r="R16" s="261"/>
      <c r="S16" s="261"/>
      <c r="T16" s="261"/>
      <c r="U16" s="261"/>
      <c r="V16" s="261"/>
      <c r="W16" s="261"/>
      <c r="X16" s="261"/>
      <c r="Y16" s="261"/>
      <c r="Z16" s="261"/>
      <c r="AA16" s="261"/>
      <c r="AB16" s="261"/>
      <c r="AC16" s="261"/>
      <c r="AD16" s="261"/>
      <c r="AE16" s="261"/>
      <c r="AF16" s="261"/>
      <c r="AG16" s="261"/>
      <c r="AH16" s="261"/>
      <c r="AI16" s="261"/>
      <c r="AJ16" s="261"/>
      <c r="AK16" s="261"/>
      <c r="AL16" s="261"/>
      <c r="AM16" s="261"/>
      <c r="AN16" s="261"/>
      <c r="AO16" s="261"/>
      <c r="AP16" s="261"/>
      <c r="AQ16" s="261"/>
      <c r="AR16" s="261"/>
      <c r="AS16" s="261"/>
      <c r="AT16" s="261"/>
      <c r="AU16" s="261"/>
      <c r="AV16" s="261"/>
      <c r="AW16" s="261"/>
      <c r="AX16" s="261"/>
      <c r="AY16" s="261"/>
      <c r="AZ16" s="261"/>
      <c r="BA16" s="261"/>
      <c r="BB16" s="261"/>
      <c r="BC16" s="261"/>
      <c r="BD16" s="261"/>
      <c r="BE16" s="261"/>
      <c r="BF16" s="261"/>
      <c r="BG16" s="261"/>
      <c r="BH16" s="261"/>
      <c r="BI16" s="261"/>
      <c r="BJ16" s="261"/>
      <c r="BK16" s="261"/>
      <c r="BL16" s="261"/>
      <c r="BM16" s="261"/>
      <c r="BN16" s="261"/>
      <c r="BO16" s="261"/>
      <c r="BP16" s="261"/>
      <c r="BQ16" s="261"/>
      <c r="BR16" s="261"/>
      <c r="BS16" s="261"/>
      <c r="BT16" s="261"/>
      <c r="BU16" s="261"/>
      <c r="BV16" s="261"/>
      <c r="BW16" s="261"/>
      <c r="BX16" s="261"/>
      <c r="BY16" s="261"/>
      <c r="BZ16" s="261"/>
      <c r="CA16" s="261"/>
      <c r="CB16" s="261"/>
      <c r="CC16" s="261"/>
      <c r="CD16" s="261"/>
      <c r="CE16" s="261"/>
      <c r="CF16" s="261"/>
      <c r="CG16" s="261"/>
      <c r="CH16" s="261"/>
      <c r="CI16" s="261"/>
      <c r="CJ16" s="261"/>
      <c r="CK16" s="261"/>
      <c r="CL16" s="261"/>
      <c r="CM16" s="261"/>
      <c r="CN16" s="261"/>
      <c r="CO16" s="261"/>
      <c r="CP16" s="261"/>
      <c r="CQ16" s="261"/>
      <c r="CR16" s="261"/>
      <c r="CS16" s="261"/>
      <c r="CT16" s="261"/>
      <c r="CU16" s="261"/>
      <c r="CV16" s="261"/>
      <c r="CW16" s="261"/>
      <c r="CX16" s="261"/>
      <c r="CY16" s="261"/>
      <c r="CZ16" s="261"/>
      <c r="DA16" s="261"/>
      <c r="DB16" s="261"/>
      <c r="DC16" s="261"/>
      <c r="DD16" s="261"/>
      <c r="DE16" s="261"/>
      <c r="DF16" s="261"/>
      <c r="DG16" s="261"/>
      <c r="DH16" s="261"/>
      <c r="DI16" s="261"/>
      <c r="DJ16" s="261"/>
      <c r="DK16" s="261"/>
      <c r="DL16" s="261"/>
      <c r="DM16" s="261"/>
      <c r="DN16" s="261"/>
      <c r="DO16" s="261"/>
      <c r="DP16" s="261"/>
      <c r="DQ16" s="261"/>
      <c r="DR16" s="261"/>
      <c r="DS16" s="261"/>
      <c r="DT16" s="261"/>
      <c r="DU16" s="261"/>
      <c r="DV16" s="261"/>
      <c r="DW16" s="261"/>
      <c r="DX16" s="261"/>
      <c r="DY16" s="261"/>
      <c r="DZ16" s="261"/>
      <c r="EA16" s="261"/>
      <c r="EB16" s="261"/>
      <c r="EC16" s="261"/>
      <c r="ED16" s="261"/>
      <c r="EE16" s="261"/>
      <c r="EF16" s="261"/>
      <c r="EG16" s="261"/>
      <c r="EH16" s="261"/>
      <c r="EI16" s="261"/>
      <c r="EJ16" s="261"/>
      <c r="EK16" s="261"/>
      <c r="EL16" s="261"/>
      <c r="EM16" s="261"/>
      <c r="EN16" s="261"/>
      <c r="EO16" s="261"/>
      <c r="EP16" s="261"/>
      <c r="EQ16" s="261"/>
      <c r="ER16" s="261"/>
      <c r="ES16" s="261"/>
      <c r="ET16" s="261"/>
      <c r="EU16" s="261"/>
      <c r="EV16" s="261"/>
      <c r="EW16" s="261"/>
      <c r="EX16" s="261"/>
      <c r="EY16" s="261"/>
      <c r="EZ16" s="261"/>
      <c r="FA16" s="261"/>
      <c r="FB16" s="261"/>
      <c r="FC16" s="261"/>
      <c r="FD16" s="261"/>
      <c r="FE16" s="261"/>
      <c r="FF16" s="261"/>
      <c r="FG16" s="261"/>
      <c r="FH16" s="261"/>
      <c r="FI16" s="261"/>
      <c r="FJ16" s="261"/>
      <c r="FK16" s="261"/>
      <c r="FL16" s="261"/>
      <c r="FM16" s="261"/>
      <c r="FN16" s="261"/>
      <c r="FO16" s="261"/>
      <c r="FP16" s="261"/>
      <c r="FQ16" s="261"/>
      <c r="FR16" s="261"/>
      <c r="FS16" s="261"/>
      <c r="FT16" s="261"/>
      <c r="FU16" s="261"/>
      <c r="FV16" s="261"/>
      <c r="FW16" s="261"/>
      <c r="FX16" s="261"/>
      <c r="FY16" s="261"/>
      <c r="FZ16" s="261"/>
      <c r="GA16" s="261"/>
      <c r="GB16" s="261"/>
      <c r="GC16" s="261"/>
      <c r="GD16" s="261"/>
      <c r="GE16" s="261"/>
      <c r="GF16" s="261"/>
      <c r="GG16" s="261"/>
      <c r="GH16" s="261"/>
      <c r="GI16" s="261"/>
      <c r="GJ16" s="261"/>
      <c r="GK16" s="261"/>
      <c r="GL16" s="261"/>
      <c r="GM16" s="261"/>
      <c r="GN16" s="261"/>
      <c r="GO16" s="261"/>
      <c r="GP16" s="261"/>
      <c r="GQ16" s="261"/>
      <c r="GR16" s="261"/>
      <c r="GS16" s="261"/>
      <c r="GT16" s="261"/>
      <c r="GU16" s="261"/>
      <c r="GV16" s="261"/>
      <c r="GW16" s="261"/>
      <c r="GX16" s="261"/>
      <c r="GY16" s="261"/>
      <c r="GZ16" s="261"/>
      <c r="HA16" s="261"/>
      <c r="HB16" s="261"/>
      <c r="HC16" s="261"/>
      <c r="HD16" s="261"/>
      <c r="HE16" s="261"/>
      <c r="HF16" s="261"/>
      <c r="HG16" s="261"/>
      <c r="HH16" s="261"/>
      <c r="HI16" s="261"/>
      <c r="HJ16" s="261"/>
      <c r="HK16" s="261"/>
      <c r="HL16" s="261"/>
      <c r="HM16" s="261"/>
      <c r="HN16" s="261"/>
      <c r="HO16" s="261"/>
      <c r="HP16" s="261"/>
      <c r="HQ16" s="261"/>
      <c r="HR16" s="261"/>
      <c r="HS16" s="261"/>
      <c r="HT16" s="261"/>
      <c r="HU16" s="261"/>
      <c r="HV16" s="261"/>
      <c r="HW16" s="261"/>
      <c r="HX16" s="261"/>
      <c r="HY16" s="261"/>
      <c r="HZ16" s="261"/>
      <c r="IA16" s="261"/>
      <c r="IB16" s="261"/>
    </row>
    <row r="17" spans="1:236" s="264" customFormat="1" ht="15.75" customHeight="1">
      <c r="A17" s="327"/>
      <c r="B17" s="332" t="s">
        <v>2816</v>
      </c>
      <c r="C17" s="331" t="s">
        <v>2576</v>
      </c>
      <c r="D17" s="325" t="s">
        <v>282</v>
      </c>
      <c r="E17" s="326">
        <v>1280</v>
      </c>
      <c r="F17" s="326">
        <v>1280</v>
      </c>
      <c r="G17" s="326">
        <v>1250</v>
      </c>
      <c r="H17" s="326">
        <v>1250</v>
      </c>
      <c r="I17" s="326">
        <v>1280</v>
      </c>
      <c r="J17" s="326">
        <v>1280</v>
      </c>
      <c r="K17" s="326">
        <v>1250</v>
      </c>
      <c r="L17" s="326">
        <v>1230</v>
      </c>
      <c r="M17" s="326">
        <v>1280</v>
      </c>
      <c r="N17" s="326">
        <v>1280</v>
      </c>
      <c r="O17" s="326">
        <v>1280</v>
      </c>
      <c r="P17" s="263"/>
      <c r="Q17" s="261"/>
      <c r="R17" s="261"/>
      <c r="S17" s="261"/>
      <c r="T17" s="261"/>
      <c r="U17" s="261"/>
      <c r="V17" s="261"/>
      <c r="W17" s="261"/>
      <c r="X17" s="261"/>
      <c r="Y17" s="261"/>
      <c r="Z17" s="261"/>
      <c r="AA17" s="261"/>
      <c r="AB17" s="261"/>
      <c r="AC17" s="261"/>
      <c r="AD17" s="261"/>
      <c r="AE17" s="261"/>
      <c r="AF17" s="261"/>
      <c r="AG17" s="261"/>
      <c r="AH17" s="261"/>
      <c r="AI17" s="261"/>
      <c r="AJ17" s="261"/>
      <c r="AK17" s="261"/>
      <c r="AL17" s="261"/>
      <c r="AM17" s="261"/>
      <c r="AN17" s="261"/>
      <c r="AO17" s="261"/>
      <c r="AP17" s="261"/>
      <c r="AQ17" s="261"/>
      <c r="AR17" s="261"/>
      <c r="AS17" s="261"/>
      <c r="AT17" s="261"/>
      <c r="AU17" s="261"/>
      <c r="AV17" s="261"/>
      <c r="AW17" s="261"/>
      <c r="AX17" s="261"/>
      <c r="AY17" s="261"/>
      <c r="AZ17" s="261"/>
      <c r="BA17" s="261"/>
      <c r="BB17" s="261"/>
      <c r="BC17" s="261"/>
      <c r="BD17" s="261"/>
      <c r="BE17" s="261"/>
      <c r="BF17" s="261"/>
      <c r="BG17" s="261"/>
      <c r="BH17" s="261"/>
      <c r="BI17" s="261"/>
      <c r="BJ17" s="261"/>
      <c r="BK17" s="261"/>
      <c r="BL17" s="261"/>
      <c r="BM17" s="261"/>
      <c r="BN17" s="261"/>
      <c r="BO17" s="261"/>
      <c r="BP17" s="261"/>
      <c r="BQ17" s="261"/>
      <c r="BR17" s="261"/>
      <c r="BS17" s="261"/>
      <c r="BT17" s="261"/>
      <c r="BU17" s="261"/>
      <c r="BV17" s="261"/>
      <c r="BW17" s="261"/>
      <c r="BX17" s="261"/>
      <c r="BY17" s="261"/>
      <c r="BZ17" s="261"/>
      <c r="CA17" s="261"/>
      <c r="CB17" s="261"/>
      <c r="CC17" s="261"/>
      <c r="CD17" s="261"/>
      <c r="CE17" s="261"/>
      <c r="CF17" s="261"/>
      <c r="CG17" s="261"/>
      <c r="CH17" s="261"/>
      <c r="CI17" s="261"/>
      <c r="CJ17" s="261"/>
      <c r="CK17" s="261"/>
      <c r="CL17" s="261"/>
      <c r="CM17" s="261"/>
      <c r="CN17" s="261"/>
      <c r="CO17" s="261"/>
      <c r="CP17" s="261"/>
      <c r="CQ17" s="261"/>
      <c r="CR17" s="261"/>
      <c r="CS17" s="261"/>
      <c r="CT17" s="261"/>
      <c r="CU17" s="261"/>
      <c r="CV17" s="261"/>
      <c r="CW17" s="261"/>
      <c r="CX17" s="261"/>
      <c r="CY17" s="261"/>
      <c r="CZ17" s="261"/>
      <c r="DA17" s="261"/>
      <c r="DB17" s="261"/>
      <c r="DC17" s="261"/>
      <c r="DD17" s="261"/>
      <c r="DE17" s="261"/>
      <c r="DF17" s="261"/>
      <c r="DG17" s="261"/>
      <c r="DH17" s="261"/>
      <c r="DI17" s="261"/>
      <c r="DJ17" s="261"/>
      <c r="DK17" s="261"/>
      <c r="DL17" s="261"/>
      <c r="DM17" s="261"/>
      <c r="DN17" s="261"/>
      <c r="DO17" s="261"/>
      <c r="DP17" s="261"/>
      <c r="DQ17" s="261"/>
      <c r="DR17" s="261"/>
      <c r="DS17" s="261"/>
      <c r="DT17" s="261"/>
      <c r="DU17" s="261"/>
      <c r="DV17" s="261"/>
      <c r="DW17" s="261"/>
      <c r="DX17" s="261"/>
      <c r="DY17" s="261"/>
      <c r="DZ17" s="261"/>
      <c r="EA17" s="261"/>
      <c r="EB17" s="261"/>
      <c r="EC17" s="261"/>
      <c r="ED17" s="261"/>
      <c r="EE17" s="261"/>
      <c r="EF17" s="261"/>
      <c r="EG17" s="261"/>
      <c r="EH17" s="261"/>
      <c r="EI17" s="261"/>
      <c r="EJ17" s="261"/>
      <c r="EK17" s="261"/>
      <c r="EL17" s="261"/>
      <c r="EM17" s="261"/>
      <c r="EN17" s="261"/>
      <c r="EO17" s="261"/>
      <c r="EP17" s="261"/>
      <c r="EQ17" s="261"/>
      <c r="ER17" s="261"/>
      <c r="ES17" s="261"/>
      <c r="ET17" s="261"/>
      <c r="EU17" s="261"/>
      <c r="EV17" s="261"/>
      <c r="EW17" s="261"/>
      <c r="EX17" s="261"/>
      <c r="EY17" s="261"/>
      <c r="EZ17" s="261"/>
      <c r="FA17" s="261"/>
      <c r="FB17" s="261"/>
      <c r="FC17" s="261"/>
      <c r="FD17" s="261"/>
      <c r="FE17" s="261"/>
      <c r="FF17" s="261"/>
      <c r="FG17" s="261"/>
      <c r="FH17" s="261"/>
      <c r="FI17" s="261"/>
      <c r="FJ17" s="261"/>
      <c r="FK17" s="261"/>
      <c r="FL17" s="261"/>
      <c r="FM17" s="261"/>
      <c r="FN17" s="261"/>
      <c r="FO17" s="261"/>
      <c r="FP17" s="261"/>
      <c r="FQ17" s="261"/>
      <c r="FR17" s="261"/>
      <c r="FS17" s="261"/>
      <c r="FT17" s="261"/>
      <c r="FU17" s="261"/>
      <c r="FV17" s="261"/>
      <c r="FW17" s="261"/>
      <c r="FX17" s="261"/>
      <c r="FY17" s="261"/>
      <c r="FZ17" s="261"/>
      <c r="GA17" s="261"/>
      <c r="GB17" s="261"/>
      <c r="GC17" s="261"/>
      <c r="GD17" s="261"/>
      <c r="GE17" s="261"/>
      <c r="GF17" s="261"/>
      <c r="GG17" s="261"/>
      <c r="GH17" s="261"/>
      <c r="GI17" s="261"/>
      <c r="GJ17" s="261"/>
      <c r="GK17" s="261"/>
      <c r="GL17" s="261"/>
      <c r="GM17" s="261"/>
      <c r="GN17" s="261"/>
      <c r="GO17" s="261"/>
      <c r="GP17" s="261"/>
      <c r="GQ17" s="261"/>
      <c r="GR17" s="261"/>
      <c r="GS17" s="261"/>
      <c r="GT17" s="261"/>
      <c r="GU17" s="261"/>
      <c r="GV17" s="261"/>
      <c r="GW17" s="261"/>
      <c r="GX17" s="261"/>
      <c r="GY17" s="261"/>
      <c r="GZ17" s="261"/>
      <c r="HA17" s="261"/>
      <c r="HB17" s="261"/>
      <c r="HC17" s="261"/>
      <c r="HD17" s="261"/>
      <c r="HE17" s="261"/>
      <c r="HF17" s="261"/>
      <c r="HG17" s="261"/>
      <c r="HH17" s="261"/>
      <c r="HI17" s="261"/>
      <c r="HJ17" s="261"/>
      <c r="HK17" s="261"/>
      <c r="HL17" s="261"/>
      <c r="HM17" s="261"/>
      <c r="HN17" s="261"/>
      <c r="HO17" s="261"/>
      <c r="HP17" s="261"/>
      <c r="HQ17" s="261"/>
      <c r="HR17" s="261"/>
      <c r="HS17" s="261"/>
      <c r="HT17" s="261"/>
      <c r="HU17" s="261"/>
      <c r="HV17" s="261"/>
      <c r="HW17" s="261"/>
      <c r="HX17" s="261"/>
      <c r="HY17" s="261"/>
      <c r="HZ17" s="261"/>
      <c r="IA17" s="261"/>
      <c r="IB17" s="261"/>
    </row>
    <row r="18" spans="1:236" s="264" customFormat="1" ht="15.75" customHeight="1">
      <c r="A18" s="327"/>
      <c r="B18" s="332" t="s">
        <v>2817</v>
      </c>
      <c r="C18" s="329" t="s">
        <v>2577</v>
      </c>
      <c r="D18" s="325" t="s">
        <v>282</v>
      </c>
      <c r="E18" s="326">
        <v>1400</v>
      </c>
      <c r="F18" s="326">
        <v>1400</v>
      </c>
      <c r="G18" s="326">
        <v>1350</v>
      </c>
      <c r="H18" s="326">
        <v>1350</v>
      </c>
      <c r="I18" s="326">
        <v>1400</v>
      </c>
      <c r="J18" s="326">
        <v>1400</v>
      </c>
      <c r="K18" s="326">
        <v>1350</v>
      </c>
      <c r="L18" s="326">
        <v>1320</v>
      </c>
      <c r="M18" s="326">
        <v>1400</v>
      </c>
      <c r="N18" s="326">
        <v>1400</v>
      </c>
      <c r="O18" s="326">
        <v>1400</v>
      </c>
      <c r="P18" s="263"/>
      <c r="Q18" s="261"/>
      <c r="R18" s="261"/>
      <c r="S18" s="261"/>
      <c r="T18" s="261"/>
      <c r="U18" s="261"/>
      <c r="V18" s="261"/>
      <c r="W18" s="261"/>
      <c r="X18" s="261"/>
      <c r="Y18" s="261"/>
      <c r="Z18" s="261"/>
      <c r="AA18" s="261"/>
      <c r="AB18" s="261"/>
      <c r="AC18" s="261"/>
      <c r="AD18" s="261"/>
      <c r="AE18" s="261"/>
      <c r="AF18" s="261"/>
      <c r="AG18" s="261"/>
      <c r="AH18" s="261"/>
      <c r="AI18" s="261"/>
      <c r="AJ18" s="261"/>
      <c r="AK18" s="261"/>
      <c r="AL18" s="261"/>
      <c r="AM18" s="261"/>
      <c r="AN18" s="261"/>
      <c r="AO18" s="261"/>
      <c r="AP18" s="261"/>
      <c r="AQ18" s="261"/>
      <c r="AR18" s="261"/>
      <c r="AS18" s="261"/>
      <c r="AT18" s="261"/>
      <c r="AU18" s="261"/>
      <c r="AV18" s="261"/>
      <c r="AW18" s="261"/>
      <c r="AX18" s="261"/>
      <c r="AY18" s="261"/>
      <c r="AZ18" s="261"/>
      <c r="BA18" s="261"/>
      <c r="BB18" s="261"/>
      <c r="BC18" s="261"/>
      <c r="BD18" s="261"/>
      <c r="BE18" s="261"/>
      <c r="BF18" s="261"/>
      <c r="BG18" s="261"/>
      <c r="BH18" s="261"/>
      <c r="BI18" s="261"/>
      <c r="BJ18" s="261"/>
      <c r="BK18" s="261"/>
      <c r="BL18" s="261"/>
      <c r="BM18" s="261"/>
      <c r="BN18" s="261"/>
      <c r="BO18" s="261"/>
      <c r="BP18" s="261"/>
      <c r="BQ18" s="261"/>
      <c r="BR18" s="261"/>
      <c r="BS18" s="261"/>
      <c r="BT18" s="261"/>
      <c r="BU18" s="261"/>
      <c r="BV18" s="261"/>
      <c r="BW18" s="261"/>
      <c r="BX18" s="261"/>
      <c r="BY18" s="261"/>
      <c r="BZ18" s="261"/>
      <c r="CA18" s="261"/>
      <c r="CB18" s="261"/>
      <c r="CC18" s="261"/>
      <c r="CD18" s="261"/>
      <c r="CE18" s="261"/>
      <c r="CF18" s="261"/>
      <c r="CG18" s="261"/>
      <c r="CH18" s="261"/>
      <c r="CI18" s="261"/>
      <c r="CJ18" s="261"/>
      <c r="CK18" s="261"/>
      <c r="CL18" s="261"/>
      <c r="CM18" s="261"/>
      <c r="CN18" s="261"/>
      <c r="CO18" s="261"/>
      <c r="CP18" s="261"/>
      <c r="CQ18" s="261"/>
      <c r="CR18" s="261"/>
      <c r="CS18" s="261"/>
      <c r="CT18" s="261"/>
      <c r="CU18" s="261"/>
      <c r="CV18" s="261"/>
      <c r="CW18" s="261"/>
      <c r="CX18" s="261"/>
      <c r="CY18" s="261"/>
      <c r="CZ18" s="261"/>
      <c r="DA18" s="261"/>
      <c r="DB18" s="261"/>
      <c r="DC18" s="261"/>
      <c r="DD18" s="261"/>
      <c r="DE18" s="261"/>
      <c r="DF18" s="261"/>
      <c r="DG18" s="261"/>
      <c r="DH18" s="261"/>
      <c r="DI18" s="261"/>
      <c r="DJ18" s="261"/>
      <c r="DK18" s="261"/>
      <c r="DL18" s="261"/>
      <c r="DM18" s="261"/>
      <c r="DN18" s="261"/>
      <c r="DO18" s="261"/>
      <c r="DP18" s="261"/>
      <c r="DQ18" s="261"/>
      <c r="DR18" s="261"/>
      <c r="DS18" s="261"/>
      <c r="DT18" s="261"/>
      <c r="DU18" s="261"/>
      <c r="DV18" s="261"/>
      <c r="DW18" s="261"/>
      <c r="DX18" s="261"/>
      <c r="DY18" s="261"/>
      <c r="DZ18" s="261"/>
      <c r="EA18" s="261"/>
      <c r="EB18" s="261"/>
      <c r="EC18" s="261"/>
      <c r="ED18" s="261"/>
      <c r="EE18" s="261"/>
      <c r="EF18" s="261"/>
      <c r="EG18" s="261"/>
      <c r="EH18" s="261"/>
      <c r="EI18" s="261"/>
      <c r="EJ18" s="261"/>
      <c r="EK18" s="261"/>
      <c r="EL18" s="261"/>
      <c r="EM18" s="261"/>
      <c r="EN18" s="261"/>
      <c r="EO18" s="261"/>
      <c r="EP18" s="261"/>
      <c r="EQ18" s="261"/>
      <c r="ER18" s="261"/>
      <c r="ES18" s="261"/>
      <c r="ET18" s="261"/>
      <c r="EU18" s="261"/>
      <c r="EV18" s="261"/>
      <c r="EW18" s="261"/>
      <c r="EX18" s="261"/>
      <c r="EY18" s="261"/>
      <c r="EZ18" s="261"/>
      <c r="FA18" s="261"/>
      <c r="FB18" s="261"/>
      <c r="FC18" s="261"/>
      <c r="FD18" s="261"/>
      <c r="FE18" s="261"/>
      <c r="FF18" s="261"/>
      <c r="FG18" s="261"/>
      <c r="FH18" s="261"/>
      <c r="FI18" s="261"/>
      <c r="FJ18" s="261"/>
      <c r="FK18" s="261"/>
      <c r="FL18" s="261"/>
      <c r="FM18" s="261"/>
      <c r="FN18" s="261"/>
      <c r="FO18" s="261"/>
      <c r="FP18" s="261"/>
      <c r="FQ18" s="261"/>
      <c r="FR18" s="261"/>
      <c r="FS18" s="261"/>
      <c r="FT18" s="261"/>
      <c r="FU18" s="261"/>
      <c r="FV18" s="261"/>
      <c r="FW18" s="261"/>
      <c r="FX18" s="261"/>
      <c r="FY18" s="261"/>
      <c r="FZ18" s="261"/>
      <c r="GA18" s="261"/>
      <c r="GB18" s="261"/>
      <c r="GC18" s="261"/>
      <c r="GD18" s="261"/>
      <c r="GE18" s="261"/>
      <c r="GF18" s="261"/>
      <c r="GG18" s="261"/>
      <c r="GH18" s="261"/>
      <c r="GI18" s="261"/>
      <c r="GJ18" s="261"/>
      <c r="GK18" s="261"/>
      <c r="GL18" s="261"/>
      <c r="GM18" s="261"/>
      <c r="GN18" s="261"/>
      <c r="GO18" s="261"/>
      <c r="GP18" s="261"/>
      <c r="GQ18" s="261"/>
      <c r="GR18" s="261"/>
      <c r="GS18" s="261"/>
      <c r="GT18" s="261"/>
      <c r="GU18" s="261"/>
      <c r="GV18" s="261"/>
      <c r="GW18" s="261"/>
      <c r="GX18" s="261"/>
      <c r="GY18" s="261"/>
      <c r="GZ18" s="261"/>
      <c r="HA18" s="261"/>
      <c r="HB18" s="261"/>
      <c r="HC18" s="261"/>
      <c r="HD18" s="261"/>
      <c r="HE18" s="261"/>
      <c r="HF18" s="261"/>
      <c r="HG18" s="261"/>
      <c r="HH18" s="261"/>
      <c r="HI18" s="261"/>
      <c r="HJ18" s="261"/>
      <c r="HK18" s="261"/>
      <c r="HL18" s="261"/>
      <c r="HM18" s="261"/>
      <c r="HN18" s="261"/>
      <c r="HO18" s="261"/>
      <c r="HP18" s="261"/>
      <c r="HQ18" s="261"/>
      <c r="HR18" s="261"/>
      <c r="HS18" s="261"/>
      <c r="HT18" s="261"/>
      <c r="HU18" s="261"/>
      <c r="HV18" s="261"/>
      <c r="HW18" s="261"/>
      <c r="HX18" s="261"/>
      <c r="HY18" s="261"/>
      <c r="HZ18" s="261"/>
      <c r="IA18" s="261"/>
      <c r="IB18" s="261"/>
    </row>
    <row r="19" spans="1:236" s="264" customFormat="1" ht="15.75" customHeight="1">
      <c r="A19" s="327"/>
      <c r="B19" s="332" t="s">
        <v>2818</v>
      </c>
      <c r="C19" s="331" t="s">
        <v>2576</v>
      </c>
      <c r="D19" s="325" t="s">
        <v>282</v>
      </c>
      <c r="E19" s="326">
        <v>1180</v>
      </c>
      <c r="F19" s="326">
        <v>1180</v>
      </c>
      <c r="G19" s="326">
        <v>1180</v>
      </c>
      <c r="H19" s="326">
        <v>1180</v>
      </c>
      <c r="I19" s="326">
        <v>1180</v>
      </c>
      <c r="J19" s="326">
        <v>1180</v>
      </c>
      <c r="K19" s="326">
        <v>1150</v>
      </c>
      <c r="L19" s="326">
        <v>1130</v>
      </c>
      <c r="M19" s="326">
        <v>1180</v>
      </c>
      <c r="N19" s="326">
        <v>1180</v>
      </c>
      <c r="O19" s="326">
        <v>1180</v>
      </c>
      <c r="P19" s="263"/>
      <c r="Q19" s="261"/>
      <c r="R19" s="261"/>
      <c r="S19" s="261"/>
      <c r="T19" s="261"/>
      <c r="U19" s="261"/>
      <c r="V19" s="261"/>
      <c r="W19" s="261"/>
      <c r="X19" s="261"/>
      <c r="Y19" s="261"/>
      <c r="Z19" s="261"/>
      <c r="AA19" s="261"/>
      <c r="AB19" s="261"/>
      <c r="AC19" s="261"/>
      <c r="AD19" s="261"/>
      <c r="AE19" s="261"/>
      <c r="AF19" s="261"/>
      <c r="AG19" s="261"/>
      <c r="AH19" s="261"/>
      <c r="AI19" s="261"/>
      <c r="AJ19" s="261"/>
      <c r="AK19" s="261"/>
      <c r="AL19" s="261"/>
      <c r="AM19" s="261"/>
      <c r="AN19" s="261"/>
      <c r="AO19" s="261"/>
      <c r="AP19" s="261"/>
      <c r="AQ19" s="261"/>
      <c r="AR19" s="261"/>
      <c r="AS19" s="261"/>
      <c r="AT19" s="261"/>
      <c r="AU19" s="261"/>
      <c r="AV19" s="261"/>
      <c r="AW19" s="261"/>
      <c r="AX19" s="261"/>
      <c r="AY19" s="261"/>
      <c r="AZ19" s="261"/>
      <c r="BA19" s="261"/>
      <c r="BB19" s="261"/>
      <c r="BC19" s="261"/>
      <c r="BD19" s="261"/>
      <c r="BE19" s="261"/>
      <c r="BF19" s="261"/>
      <c r="BG19" s="261"/>
      <c r="BH19" s="261"/>
      <c r="BI19" s="261"/>
      <c r="BJ19" s="261"/>
      <c r="BK19" s="261"/>
      <c r="BL19" s="261"/>
      <c r="BM19" s="261"/>
      <c r="BN19" s="261"/>
      <c r="BO19" s="261"/>
      <c r="BP19" s="261"/>
      <c r="BQ19" s="261"/>
      <c r="BR19" s="261"/>
      <c r="BS19" s="261"/>
      <c r="BT19" s="261"/>
      <c r="BU19" s="261"/>
      <c r="BV19" s="261"/>
      <c r="BW19" s="261"/>
      <c r="BX19" s="261"/>
      <c r="BY19" s="261"/>
      <c r="BZ19" s="261"/>
      <c r="CA19" s="261"/>
      <c r="CB19" s="261"/>
      <c r="CC19" s="261"/>
      <c r="CD19" s="261"/>
      <c r="CE19" s="261"/>
      <c r="CF19" s="261"/>
      <c r="CG19" s="261"/>
      <c r="CH19" s="261"/>
      <c r="CI19" s="261"/>
      <c r="CJ19" s="261"/>
      <c r="CK19" s="261"/>
      <c r="CL19" s="261"/>
      <c r="CM19" s="261"/>
      <c r="CN19" s="261"/>
      <c r="CO19" s="261"/>
      <c r="CP19" s="261"/>
      <c r="CQ19" s="261"/>
      <c r="CR19" s="261"/>
      <c r="CS19" s="261"/>
      <c r="CT19" s="261"/>
      <c r="CU19" s="261"/>
      <c r="CV19" s="261"/>
      <c r="CW19" s="261"/>
      <c r="CX19" s="261"/>
      <c r="CY19" s="261"/>
      <c r="CZ19" s="261"/>
      <c r="DA19" s="261"/>
      <c r="DB19" s="261"/>
      <c r="DC19" s="261"/>
      <c r="DD19" s="261"/>
      <c r="DE19" s="261"/>
      <c r="DF19" s="261"/>
      <c r="DG19" s="261"/>
      <c r="DH19" s="261"/>
      <c r="DI19" s="261"/>
      <c r="DJ19" s="261"/>
      <c r="DK19" s="261"/>
      <c r="DL19" s="261"/>
      <c r="DM19" s="261"/>
      <c r="DN19" s="261"/>
      <c r="DO19" s="261"/>
      <c r="DP19" s="261"/>
      <c r="DQ19" s="261"/>
      <c r="DR19" s="261"/>
      <c r="DS19" s="261"/>
      <c r="DT19" s="261"/>
      <c r="DU19" s="261"/>
      <c r="DV19" s="261"/>
      <c r="DW19" s="261"/>
      <c r="DX19" s="261"/>
      <c r="DY19" s="261"/>
      <c r="DZ19" s="261"/>
      <c r="EA19" s="261"/>
      <c r="EB19" s="261"/>
      <c r="EC19" s="261"/>
      <c r="ED19" s="261"/>
      <c r="EE19" s="261"/>
      <c r="EF19" s="261"/>
      <c r="EG19" s="261"/>
      <c r="EH19" s="261"/>
      <c r="EI19" s="261"/>
      <c r="EJ19" s="261"/>
      <c r="EK19" s="261"/>
      <c r="EL19" s="261"/>
      <c r="EM19" s="261"/>
      <c r="EN19" s="261"/>
      <c r="EO19" s="261"/>
      <c r="EP19" s="261"/>
      <c r="EQ19" s="261"/>
      <c r="ER19" s="261"/>
      <c r="ES19" s="261"/>
      <c r="ET19" s="261"/>
      <c r="EU19" s="261"/>
      <c r="EV19" s="261"/>
      <c r="EW19" s="261"/>
      <c r="EX19" s="261"/>
      <c r="EY19" s="261"/>
      <c r="EZ19" s="261"/>
      <c r="FA19" s="261"/>
      <c r="FB19" s="261"/>
      <c r="FC19" s="261"/>
      <c r="FD19" s="261"/>
      <c r="FE19" s="261"/>
      <c r="FF19" s="261"/>
      <c r="FG19" s="261"/>
      <c r="FH19" s="261"/>
      <c r="FI19" s="261"/>
      <c r="FJ19" s="261"/>
      <c r="FK19" s="261"/>
      <c r="FL19" s="261"/>
      <c r="FM19" s="261"/>
      <c r="FN19" s="261"/>
      <c r="FO19" s="261"/>
      <c r="FP19" s="261"/>
      <c r="FQ19" s="261"/>
      <c r="FR19" s="261"/>
      <c r="FS19" s="261"/>
      <c r="FT19" s="261"/>
      <c r="FU19" s="261"/>
      <c r="FV19" s="261"/>
      <c r="FW19" s="261"/>
      <c r="FX19" s="261"/>
      <c r="FY19" s="261"/>
      <c r="FZ19" s="261"/>
      <c r="GA19" s="261"/>
      <c r="GB19" s="261"/>
      <c r="GC19" s="261"/>
      <c r="GD19" s="261"/>
      <c r="GE19" s="261"/>
      <c r="GF19" s="261"/>
      <c r="GG19" s="261"/>
      <c r="GH19" s="261"/>
      <c r="GI19" s="261"/>
      <c r="GJ19" s="261"/>
      <c r="GK19" s="261"/>
      <c r="GL19" s="261"/>
      <c r="GM19" s="261"/>
      <c r="GN19" s="261"/>
      <c r="GO19" s="261"/>
      <c r="GP19" s="261"/>
      <c r="GQ19" s="261"/>
      <c r="GR19" s="261"/>
      <c r="GS19" s="261"/>
      <c r="GT19" s="261"/>
      <c r="GU19" s="261"/>
      <c r="GV19" s="261"/>
      <c r="GW19" s="261"/>
      <c r="GX19" s="261"/>
      <c r="GY19" s="261"/>
      <c r="GZ19" s="261"/>
      <c r="HA19" s="261"/>
      <c r="HB19" s="261"/>
      <c r="HC19" s="261"/>
      <c r="HD19" s="261"/>
      <c r="HE19" s="261"/>
      <c r="HF19" s="261"/>
      <c r="HG19" s="261"/>
      <c r="HH19" s="261"/>
      <c r="HI19" s="261"/>
      <c r="HJ19" s="261"/>
      <c r="HK19" s="261"/>
      <c r="HL19" s="261"/>
      <c r="HM19" s="261"/>
      <c r="HN19" s="261"/>
      <c r="HO19" s="261"/>
      <c r="HP19" s="261"/>
      <c r="HQ19" s="261"/>
      <c r="HR19" s="261"/>
      <c r="HS19" s="261"/>
      <c r="HT19" s="261"/>
      <c r="HU19" s="261"/>
      <c r="HV19" s="261"/>
      <c r="HW19" s="261"/>
      <c r="HX19" s="261"/>
      <c r="HY19" s="261"/>
      <c r="HZ19" s="261"/>
      <c r="IA19" s="261"/>
      <c r="IB19" s="261"/>
    </row>
    <row r="20" spans="1:236" s="264" customFormat="1" ht="15.75" customHeight="1">
      <c r="A20" s="327"/>
      <c r="B20" s="332" t="s">
        <v>2819</v>
      </c>
      <c r="C20" s="329" t="s">
        <v>2578</v>
      </c>
      <c r="D20" s="325" t="s">
        <v>282</v>
      </c>
      <c r="E20" s="326">
        <v>1180</v>
      </c>
      <c r="F20" s="326">
        <v>1180</v>
      </c>
      <c r="G20" s="326">
        <v>1150</v>
      </c>
      <c r="H20" s="326">
        <v>1150</v>
      </c>
      <c r="I20" s="326">
        <v>1180</v>
      </c>
      <c r="J20" s="326">
        <v>1180</v>
      </c>
      <c r="K20" s="326">
        <v>1150</v>
      </c>
      <c r="L20" s="326">
        <v>1130</v>
      </c>
      <c r="M20" s="326">
        <v>1180</v>
      </c>
      <c r="N20" s="326">
        <v>1180</v>
      </c>
      <c r="O20" s="326">
        <v>1180</v>
      </c>
      <c r="P20" s="263"/>
      <c r="Q20" s="261"/>
      <c r="R20" s="261"/>
      <c r="S20" s="261"/>
      <c r="T20" s="261"/>
      <c r="U20" s="261"/>
      <c r="V20" s="261"/>
      <c r="W20" s="261"/>
      <c r="X20" s="261"/>
      <c r="Y20" s="261"/>
      <c r="Z20" s="261"/>
      <c r="AA20" s="261"/>
      <c r="AB20" s="261"/>
      <c r="AC20" s="261"/>
      <c r="AD20" s="261"/>
      <c r="AE20" s="261"/>
      <c r="AF20" s="261"/>
      <c r="AG20" s="261"/>
      <c r="AH20" s="261"/>
      <c r="AI20" s="261"/>
      <c r="AJ20" s="261"/>
      <c r="AK20" s="261"/>
      <c r="AL20" s="261"/>
      <c r="AM20" s="261"/>
      <c r="AN20" s="261"/>
      <c r="AO20" s="261"/>
      <c r="AP20" s="261"/>
      <c r="AQ20" s="261"/>
      <c r="AR20" s="261"/>
      <c r="AS20" s="261"/>
      <c r="AT20" s="261"/>
      <c r="AU20" s="261"/>
      <c r="AV20" s="261"/>
      <c r="AW20" s="261"/>
      <c r="AX20" s="261"/>
      <c r="AY20" s="261"/>
      <c r="AZ20" s="261"/>
      <c r="BA20" s="261"/>
      <c r="BB20" s="261"/>
      <c r="BC20" s="261"/>
      <c r="BD20" s="261"/>
      <c r="BE20" s="261"/>
      <c r="BF20" s="261"/>
      <c r="BG20" s="261"/>
      <c r="BH20" s="261"/>
      <c r="BI20" s="261"/>
      <c r="BJ20" s="261"/>
      <c r="BK20" s="261"/>
      <c r="BL20" s="261"/>
      <c r="BM20" s="261"/>
      <c r="BN20" s="261"/>
      <c r="BO20" s="261"/>
      <c r="BP20" s="261"/>
      <c r="BQ20" s="261"/>
      <c r="BR20" s="261"/>
      <c r="BS20" s="261"/>
      <c r="BT20" s="261"/>
      <c r="BU20" s="261"/>
      <c r="BV20" s="261"/>
      <c r="BW20" s="261"/>
      <c r="BX20" s="261"/>
      <c r="BY20" s="261"/>
      <c r="BZ20" s="261"/>
      <c r="CA20" s="261"/>
      <c r="CB20" s="261"/>
      <c r="CC20" s="261"/>
      <c r="CD20" s="261"/>
      <c r="CE20" s="261"/>
      <c r="CF20" s="261"/>
      <c r="CG20" s="261"/>
      <c r="CH20" s="261"/>
      <c r="CI20" s="261"/>
      <c r="CJ20" s="261"/>
      <c r="CK20" s="261"/>
      <c r="CL20" s="261"/>
      <c r="CM20" s="261"/>
      <c r="CN20" s="261"/>
      <c r="CO20" s="261"/>
      <c r="CP20" s="261"/>
      <c r="CQ20" s="261"/>
      <c r="CR20" s="261"/>
      <c r="CS20" s="261"/>
      <c r="CT20" s="261"/>
      <c r="CU20" s="261"/>
      <c r="CV20" s="261"/>
      <c r="CW20" s="261"/>
      <c r="CX20" s="261"/>
      <c r="CY20" s="261"/>
      <c r="CZ20" s="261"/>
      <c r="DA20" s="261"/>
      <c r="DB20" s="261"/>
      <c r="DC20" s="261"/>
      <c r="DD20" s="261"/>
      <c r="DE20" s="261"/>
      <c r="DF20" s="261"/>
      <c r="DG20" s="261"/>
      <c r="DH20" s="261"/>
      <c r="DI20" s="261"/>
      <c r="DJ20" s="261"/>
      <c r="DK20" s="261"/>
      <c r="DL20" s="261"/>
      <c r="DM20" s="261"/>
      <c r="DN20" s="261"/>
      <c r="DO20" s="261"/>
      <c r="DP20" s="261"/>
      <c r="DQ20" s="261"/>
      <c r="DR20" s="261"/>
      <c r="DS20" s="261"/>
      <c r="DT20" s="261"/>
      <c r="DU20" s="261"/>
      <c r="DV20" s="261"/>
      <c r="DW20" s="261"/>
      <c r="DX20" s="261"/>
      <c r="DY20" s="261"/>
      <c r="DZ20" s="261"/>
      <c r="EA20" s="261"/>
      <c r="EB20" s="261"/>
      <c r="EC20" s="261"/>
      <c r="ED20" s="261"/>
      <c r="EE20" s="261"/>
      <c r="EF20" s="261"/>
      <c r="EG20" s="261"/>
      <c r="EH20" s="261"/>
      <c r="EI20" s="261"/>
      <c r="EJ20" s="261"/>
      <c r="EK20" s="261"/>
      <c r="EL20" s="261"/>
      <c r="EM20" s="261"/>
      <c r="EN20" s="261"/>
      <c r="EO20" s="261"/>
      <c r="EP20" s="261"/>
      <c r="EQ20" s="261"/>
      <c r="ER20" s="261"/>
      <c r="ES20" s="261"/>
      <c r="ET20" s="261"/>
      <c r="EU20" s="261"/>
      <c r="EV20" s="261"/>
      <c r="EW20" s="261"/>
      <c r="EX20" s="261"/>
      <c r="EY20" s="261"/>
      <c r="EZ20" s="261"/>
      <c r="FA20" s="261"/>
      <c r="FB20" s="261"/>
      <c r="FC20" s="261"/>
      <c r="FD20" s="261"/>
      <c r="FE20" s="261"/>
      <c r="FF20" s="261"/>
      <c r="FG20" s="261"/>
      <c r="FH20" s="261"/>
      <c r="FI20" s="261"/>
      <c r="FJ20" s="261"/>
      <c r="FK20" s="261"/>
      <c r="FL20" s="261"/>
      <c r="FM20" s="261"/>
      <c r="FN20" s="261"/>
      <c r="FO20" s="261"/>
      <c r="FP20" s="261"/>
      <c r="FQ20" s="261"/>
      <c r="FR20" s="261"/>
      <c r="FS20" s="261"/>
      <c r="FT20" s="261"/>
      <c r="FU20" s="261"/>
      <c r="FV20" s="261"/>
      <c r="FW20" s="261"/>
      <c r="FX20" s="261"/>
      <c r="FY20" s="261"/>
      <c r="FZ20" s="261"/>
      <c r="GA20" s="261"/>
      <c r="GB20" s="261"/>
      <c r="GC20" s="261"/>
      <c r="GD20" s="261"/>
      <c r="GE20" s="261"/>
      <c r="GF20" s="261"/>
      <c r="GG20" s="261"/>
      <c r="GH20" s="261"/>
      <c r="GI20" s="261"/>
      <c r="GJ20" s="261"/>
      <c r="GK20" s="261"/>
      <c r="GL20" s="261"/>
      <c r="GM20" s="261"/>
      <c r="GN20" s="261"/>
      <c r="GO20" s="261"/>
      <c r="GP20" s="261"/>
      <c r="GQ20" s="261"/>
      <c r="GR20" s="261"/>
      <c r="GS20" s="261"/>
      <c r="GT20" s="261"/>
      <c r="GU20" s="261"/>
      <c r="GV20" s="261"/>
      <c r="GW20" s="261"/>
      <c r="GX20" s="261"/>
      <c r="GY20" s="261"/>
      <c r="GZ20" s="261"/>
      <c r="HA20" s="261"/>
      <c r="HB20" s="261"/>
      <c r="HC20" s="261"/>
      <c r="HD20" s="261"/>
      <c r="HE20" s="261"/>
      <c r="HF20" s="261"/>
      <c r="HG20" s="261"/>
      <c r="HH20" s="261"/>
      <c r="HI20" s="261"/>
      <c r="HJ20" s="261"/>
      <c r="HK20" s="261"/>
      <c r="HL20" s="261"/>
      <c r="HM20" s="261"/>
      <c r="HN20" s="261"/>
      <c r="HO20" s="261"/>
      <c r="HP20" s="261"/>
      <c r="HQ20" s="261"/>
      <c r="HR20" s="261"/>
      <c r="HS20" s="261"/>
      <c r="HT20" s="261"/>
      <c r="HU20" s="261"/>
      <c r="HV20" s="261"/>
      <c r="HW20" s="261"/>
      <c r="HX20" s="261"/>
      <c r="HY20" s="261"/>
      <c r="HZ20" s="261"/>
      <c r="IA20" s="261"/>
      <c r="IB20" s="261"/>
    </row>
    <row r="21" spans="1:236" s="264" customFormat="1" ht="15.75" customHeight="1">
      <c r="A21" s="327" t="s">
        <v>380</v>
      </c>
      <c r="B21" s="328" t="s">
        <v>2579</v>
      </c>
      <c r="C21" s="331" t="s">
        <v>2576</v>
      </c>
      <c r="D21" s="325"/>
      <c r="E21" s="330"/>
      <c r="F21" s="333"/>
      <c r="G21" s="333">
        <v>1870</v>
      </c>
      <c r="H21" s="333">
        <v>1870</v>
      </c>
      <c r="I21" s="330"/>
      <c r="J21" s="333"/>
      <c r="K21" s="333"/>
      <c r="L21" s="333">
        <v>1700</v>
      </c>
      <c r="M21" s="330"/>
      <c r="N21" s="333"/>
      <c r="O21" s="330"/>
      <c r="P21" s="263"/>
      <c r="Q21" s="261"/>
      <c r="R21" s="261"/>
      <c r="S21" s="261"/>
      <c r="T21" s="261"/>
      <c r="U21" s="261"/>
      <c r="V21" s="261"/>
      <c r="W21" s="261"/>
      <c r="X21" s="261"/>
      <c r="Y21" s="261"/>
      <c r="Z21" s="261"/>
      <c r="AA21" s="261"/>
      <c r="AB21" s="261"/>
      <c r="AC21" s="261"/>
      <c r="AD21" s="261"/>
      <c r="AE21" s="261"/>
      <c r="AF21" s="261"/>
      <c r="AG21" s="261"/>
      <c r="AH21" s="261"/>
      <c r="AI21" s="261"/>
      <c r="AJ21" s="261"/>
      <c r="AK21" s="261"/>
      <c r="AL21" s="261"/>
      <c r="AM21" s="261"/>
      <c r="AN21" s="261"/>
      <c r="AO21" s="261"/>
      <c r="AP21" s="261"/>
      <c r="AQ21" s="261"/>
      <c r="AR21" s="261"/>
      <c r="AS21" s="261"/>
      <c r="AT21" s="261"/>
      <c r="AU21" s="261"/>
      <c r="AV21" s="261"/>
      <c r="AW21" s="261"/>
      <c r="AX21" s="261"/>
      <c r="AY21" s="261"/>
      <c r="AZ21" s="261"/>
      <c r="BA21" s="261"/>
      <c r="BB21" s="261"/>
      <c r="BC21" s="261"/>
      <c r="BD21" s="261"/>
      <c r="BE21" s="261"/>
      <c r="BF21" s="261"/>
      <c r="BG21" s="261"/>
      <c r="BH21" s="261"/>
      <c r="BI21" s="261"/>
      <c r="BJ21" s="261"/>
      <c r="BK21" s="261"/>
      <c r="BL21" s="261"/>
      <c r="BM21" s="261"/>
      <c r="BN21" s="261"/>
      <c r="BO21" s="261"/>
      <c r="BP21" s="261"/>
      <c r="BQ21" s="261"/>
      <c r="BR21" s="261"/>
      <c r="BS21" s="261"/>
      <c r="BT21" s="261"/>
      <c r="BU21" s="261"/>
      <c r="BV21" s="261"/>
      <c r="BW21" s="261"/>
      <c r="BX21" s="261"/>
      <c r="BY21" s="261"/>
      <c r="BZ21" s="261"/>
      <c r="CA21" s="261"/>
      <c r="CB21" s="261"/>
      <c r="CC21" s="261"/>
      <c r="CD21" s="261"/>
      <c r="CE21" s="261"/>
      <c r="CF21" s="261"/>
      <c r="CG21" s="261"/>
      <c r="CH21" s="261"/>
      <c r="CI21" s="261"/>
      <c r="CJ21" s="261"/>
      <c r="CK21" s="261"/>
      <c r="CL21" s="261"/>
      <c r="CM21" s="261"/>
      <c r="CN21" s="261"/>
      <c r="CO21" s="261"/>
      <c r="CP21" s="261"/>
      <c r="CQ21" s="261"/>
      <c r="CR21" s="261"/>
      <c r="CS21" s="261"/>
      <c r="CT21" s="261"/>
      <c r="CU21" s="261"/>
      <c r="CV21" s="261"/>
      <c r="CW21" s="261"/>
      <c r="CX21" s="261"/>
      <c r="CY21" s="261"/>
      <c r="CZ21" s="261"/>
      <c r="DA21" s="261"/>
      <c r="DB21" s="261"/>
      <c r="DC21" s="261"/>
      <c r="DD21" s="261"/>
      <c r="DE21" s="261"/>
      <c r="DF21" s="261"/>
      <c r="DG21" s="261"/>
      <c r="DH21" s="261"/>
      <c r="DI21" s="261"/>
      <c r="DJ21" s="261"/>
      <c r="DK21" s="261"/>
      <c r="DL21" s="261"/>
      <c r="DM21" s="261"/>
      <c r="DN21" s="261"/>
      <c r="DO21" s="261"/>
      <c r="DP21" s="261"/>
      <c r="DQ21" s="261"/>
      <c r="DR21" s="261"/>
      <c r="DS21" s="261"/>
      <c r="DT21" s="261"/>
      <c r="DU21" s="261"/>
      <c r="DV21" s="261"/>
      <c r="DW21" s="261"/>
      <c r="DX21" s="261"/>
      <c r="DY21" s="261"/>
      <c r="DZ21" s="261"/>
      <c r="EA21" s="261"/>
      <c r="EB21" s="261"/>
      <c r="EC21" s="261"/>
      <c r="ED21" s="261"/>
      <c r="EE21" s="261"/>
      <c r="EF21" s="261"/>
      <c r="EG21" s="261"/>
      <c r="EH21" s="261"/>
      <c r="EI21" s="261"/>
      <c r="EJ21" s="261"/>
      <c r="EK21" s="261"/>
      <c r="EL21" s="261"/>
      <c r="EM21" s="261"/>
      <c r="EN21" s="261"/>
      <c r="EO21" s="261"/>
      <c r="EP21" s="261"/>
      <c r="EQ21" s="261"/>
      <c r="ER21" s="261"/>
      <c r="ES21" s="261"/>
      <c r="ET21" s="261"/>
      <c r="EU21" s="261"/>
      <c r="EV21" s="261"/>
      <c r="EW21" s="261"/>
      <c r="EX21" s="261"/>
      <c r="EY21" s="261"/>
      <c r="EZ21" s="261"/>
      <c r="FA21" s="261"/>
      <c r="FB21" s="261"/>
      <c r="FC21" s="261"/>
      <c r="FD21" s="261"/>
      <c r="FE21" s="261"/>
      <c r="FF21" s="261"/>
      <c r="FG21" s="261"/>
      <c r="FH21" s="261"/>
      <c r="FI21" s="261"/>
      <c r="FJ21" s="261"/>
      <c r="FK21" s="261"/>
      <c r="FL21" s="261"/>
      <c r="FM21" s="261"/>
      <c r="FN21" s="261"/>
      <c r="FO21" s="261"/>
      <c r="FP21" s="261"/>
      <c r="FQ21" s="261"/>
      <c r="FR21" s="261"/>
      <c r="FS21" s="261"/>
      <c r="FT21" s="261"/>
      <c r="FU21" s="261"/>
      <c r="FV21" s="261"/>
      <c r="FW21" s="261"/>
      <c r="FX21" s="261"/>
      <c r="FY21" s="261"/>
      <c r="FZ21" s="261"/>
      <c r="GA21" s="261"/>
      <c r="GB21" s="261"/>
      <c r="GC21" s="261"/>
      <c r="GD21" s="261"/>
      <c r="GE21" s="261"/>
      <c r="GF21" s="261"/>
      <c r="GG21" s="261"/>
      <c r="GH21" s="261"/>
      <c r="GI21" s="261"/>
      <c r="GJ21" s="261"/>
      <c r="GK21" s="261"/>
      <c r="GL21" s="261"/>
      <c r="GM21" s="261"/>
      <c r="GN21" s="261"/>
      <c r="GO21" s="261"/>
      <c r="GP21" s="261"/>
      <c r="GQ21" s="261"/>
      <c r="GR21" s="261"/>
      <c r="GS21" s="261"/>
      <c r="GT21" s="261"/>
      <c r="GU21" s="261"/>
      <c r="GV21" s="261"/>
      <c r="GW21" s="261"/>
      <c r="GX21" s="261"/>
      <c r="GY21" s="261"/>
      <c r="GZ21" s="261"/>
      <c r="HA21" s="261"/>
      <c r="HB21" s="261"/>
      <c r="HC21" s="261"/>
      <c r="HD21" s="261"/>
      <c r="HE21" s="261"/>
      <c r="HF21" s="261"/>
      <c r="HG21" s="261"/>
      <c r="HH21" s="261"/>
      <c r="HI21" s="261"/>
      <c r="HJ21" s="261"/>
      <c r="HK21" s="261"/>
      <c r="HL21" s="261"/>
      <c r="HM21" s="261"/>
      <c r="HN21" s="261"/>
      <c r="HO21" s="261"/>
      <c r="HP21" s="261"/>
      <c r="HQ21" s="261"/>
      <c r="HR21" s="261"/>
      <c r="HS21" s="261"/>
      <c r="HT21" s="261"/>
      <c r="HU21" s="261"/>
      <c r="HV21" s="261"/>
      <c r="HW21" s="261"/>
      <c r="HX21" s="261"/>
      <c r="HY21" s="261"/>
      <c r="HZ21" s="261"/>
      <c r="IA21" s="261"/>
      <c r="IB21" s="261"/>
    </row>
    <row r="22" spans="1:236" s="264" customFormat="1" ht="15.75" customHeight="1">
      <c r="A22" s="327" t="s">
        <v>380</v>
      </c>
      <c r="B22" s="328" t="s">
        <v>2765</v>
      </c>
      <c r="C22" s="331" t="s">
        <v>2576</v>
      </c>
      <c r="D22" s="325" t="s">
        <v>282</v>
      </c>
      <c r="E22" s="330">
        <v>5600</v>
      </c>
      <c r="F22" s="333">
        <v>7000</v>
      </c>
      <c r="G22" s="333">
        <v>5000</v>
      </c>
      <c r="H22" s="333">
        <v>5000</v>
      </c>
      <c r="I22" s="330">
        <v>10000</v>
      </c>
      <c r="J22" s="333">
        <v>5000</v>
      </c>
      <c r="K22" s="333"/>
      <c r="L22" s="333">
        <v>15000</v>
      </c>
      <c r="M22" s="330">
        <v>10000</v>
      </c>
      <c r="N22" s="333">
        <v>10000</v>
      </c>
      <c r="O22" s="330">
        <v>10000</v>
      </c>
      <c r="P22" s="263"/>
      <c r="Q22" s="261"/>
      <c r="R22" s="261"/>
      <c r="S22" s="261"/>
      <c r="T22" s="261"/>
      <c r="U22" s="261"/>
      <c r="V22" s="261"/>
      <c r="W22" s="261"/>
      <c r="X22" s="261"/>
      <c r="Y22" s="261"/>
      <c r="Z22" s="261"/>
      <c r="AA22" s="261"/>
      <c r="AB22" s="261"/>
      <c r="AC22" s="261"/>
      <c r="AD22" s="261"/>
      <c r="AE22" s="261"/>
      <c r="AF22" s="261"/>
      <c r="AG22" s="261"/>
      <c r="AH22" s="261"/>
      <c r="AI22" s="261"/>
      <c r="AJ22" s="261"/>
      <c r="AK22" s="261"/>
      <c r="AL22" s="261"/>
      <c r="AM22" s="261"/>
      <c r="AN22" s="261"/>
      <c r="AO22" s="261"/>
      <c r="AP22" s="261"/>
      <c r="AQ22" s="261"/>
      <c r="AR22" s="261"/>
      <c r="AS22" s="261"/>
      <c r="AT22" s="261"/>
      <c r="AU22" s="261"/>
      <c r="AV22" s="261"/>
      <c r="AW22" s="261"/>
      <c r="AX22" s="261"/>
      <c r="AY22" s="261"/>
      <c r="AZ22" s="261"/>
      <c r="BA22" s="261"/>
      <c r="BB22" s="261"/>
      <c r="BC22" s="261"/>
      <c r="BD22" s="261"/>
      <c r="BE22" s="261"/>
      <c r="BF22" s="261"/>
      <c r="BG22" s="261"/>
      <c r="BH22" s="261"/>
      <c r="BI22" s="261"/>
      <c r="BJ22" s="261"/>
      <c r="BK22" s="261"/>
      <c r="BL22" s="261"/>
      <c r="BM22" s="261"/>
      <c r="BN22" s="261"/>
      <c r="BO22" s="261"/>
      <c r="BP22" s="261"/>
      <c r="BQ22" s="261"/>
      <c r="BR22" s="261"/>
      <c r="BS22" s="261"/>
      <c r="BT22" s="261"/>
      <c r="BU22" s="261"/>
      <c r="BV22" s="261"/>
      <c r="BW22" s="261"/>
      <c r="BX22" s="261"/>
      <c r="BY22" s="261"/>
      <c r="BZ22" s="261"/>
      <c r="CA22" s="261"/>
      <c r="CB22" s="261"/>
      <c r="CC22" s="261"/>
      <c r="CD22" s="261"/>
      <c r="CE22" s="261"/>
      <c r="CF22" s="261"/>
      <c r="CG22" s="261"/>
      <c r="CH22" s="261"/>
      <c r="CI22" s="261"/>
      <c r="CJ22" s="261"/>
      <c r="CK22" s="261"/>
      <c r="CL22" s="261"/>
      <c r="CM22" s="261"/>
      <c r="CN22" s="261"/>
      <c r="CO22" s="261"/>
      <c r="CP22" s="261"/>
      <c r="CQ22" s="261"/>
      <c r="CR22" s="261"/>
      <c r="CS22" s="261"/>
      <c r="CT22" s="261"/>
      <c r="CU22" s="261"/>
      <c r="CV22" s="261"/>
      <c r="CW22" s="261"/>
      <c r="CX22" s="261"/>
      <c r="CY22" s="261"/>
      <c r="CZ22" s="261"/>
      <c r="DA22" s="261"/>
      <c r="DB22" s="261"/>
      <c r="DC22" s="261"/>
      <c r="DD22" s="261"/>
      <c r="DE22" s="261"/>
      <c r="DF22" s="261"/>
      <c r="DG22" s="261"/>
      <c r="DH22" s="261"/>
      <c r="DI22" s="261"/>
      <c r="DJ22" s="261"/>
      <c r="DK22" s="261"/>
      <c r="DL22" s="261"/>
      <c r="DM22" s="261"/>
      <c r="DN22" s="261"/>
      <c r="DO22" s="261"/>
      <c r="DP22" s="261"/>
      <c r="DQ22" s="261"/>
      <c r="DR22" s="261"/>
      <c r="DS22" s="261"/>
      <c r="DT22" s="261"/>
      <c r="DU22" s="261"/>
      <c r="DV22" s="261"/>
      <c r="DW22" s="261"/>
      <c r="DX22" s="261"/>
      <c r="DY22" s="261"/>
      <c r="DZ22" s="261"/>
      <c r="EA22" s="261"/>
      <c r="EB22" s="261"/>
      <c r="EC22" s="261"/>
      <c r="ED22" s="261"/>
      <c r="EE22" s="261"/>
      <c r="EF22" s="261"/>
      <c r="EG22" s="261"/>
      <c r="EH22" s="261"/>
      <c r="EI22" s="261"/>
      <c r="EJ22" s="261"/>
      <c r="EK22" s="261"/>
      <c r="EL22" s="261"/>
      <c r="EM22" s="261"/>
      <c r="EN22" s="261"/>
      <c r="EO22" s="261"/>
      <c r="EP22" s="261"/>
      <c r="EQ22" s="261"/>
      <c r="ER22" s="261"/>
      <c r="ES22" s="261"/>
      <c r="ET22" s="261"/>
      <c r="EU22" s="261"/>
      <c r="EV22" s="261"/>
      <c r="EW22" s="261"/>
      <c r="EX22" s="261"/>
      <c r="EY22" s="261"/>
      <c r="EZ22" s="261"/>
      <c r="FA22" s="261"/>
      <c r="FB22" s="261"/>
      <c r="FC22" s="261"/>
      <c r="FD22" s="261"/>
      <c r="FE22" s="261"/>
      <c r="FF22" s="261"/>
      <c r="FG22" s="261"/>
      <c r="FH22" s="261"/>
      <c r="FI22" s="261"/>
      <c r="FJ22" s="261"/>
      <c r="FK22" s="261"/>
      <c r="FL22" s="261"/>
      <c r="FM22" s="261"/>
      <c r="FN22" s="261"/>
      <c r="FO22" s="261"/>
      <c r="FP22" s="261"/>
      <c r="FQ22" s="261"/>
      <c r="FR22" s="261"/>
      <c r="FS22" s="261"/>
      <c r="FT22" s="261"/>
      <c r="FU22" s="261"/>
      <c r="FV22" s="261"/>
      <c r="FW22" s="261"/>
      <c r="FX22" s="261"/>
      <c r="FY22" s="261"/>
      <c r="FZ22" s="261"/>
      <c r="GA22" s="261"/>
      <c r="GB22" s="261"/>
      <c r="GC22" s="261"/>
      <c r="GD22" s="261"/>
      <c r="GE22" s="261"/>
      <c r="GF22" s="261"/>
      <c r="GG22" s="261"/>
      <c r="GH22" s="261"/>
      <c r="GI22" s="261"/>
      <c r="GJ22" s="261"/>
      <c r="GK22" s="261"/>
      <c r="GL22" s="261"/>
      <c r="GM22" s="261"/>
      <c r="GN22" s="261"/>
      <c r="GO22" s="261"/>
      <c r="GP22" s="261"/>
      <c r="GQ22" s="261"/>
      <c r="GR22" s="261"/>
      <c r="GS22" s="261"/>
      <c r="GT22" s="261"/>
      <c r="GU22" s="261"/>
      <c r="GV22" s="261"/>
      <c r="GW22" s="261"/>
      <c r="GX22" s="261"/>
      <c r="GY22" s="261"/>
      <c r="GZ22" s="261"/>
      <c r="HA22" s="261"/>
      <c r="HB22" s="261"/>
      <c r="HC22" s="261"/>
      <c r="HD22" s="261"/>
      <c r="HE22" s="261"/>
      <c r="HF22" s="261"/>
      <c r="HG22" s="261"/>
      <c r="HH22" s="261"/>
      <c r="HI22" s="261"/>
      <c r="HJ22" s="261"/>
      <c r="HK22" s="261"/>
      <c r="HL22" s="261"/>
      <c r="HM22" s="261"/>
      <c r="HN22" s="261"/>
      <c r="HO22" s="261"/>
      <c r="HP22" s="261"/>
      <c r="HQ22" s="261"/>
      <c r="HR22" s="261"/>
      <c r="HS22" s="261"/>
      <c r="HT22" s="261"/>
      <c r="HU22" s="261"/>
      <c r="HV22" s="261"/>
      <c r="HW22" s="261"/>
      <c r="HX22" s="261"/>
      <c r="HY22" s="261"/>
      <c r="HZ22" s="261"/>
      <c r="IA22" s="261"/>
      <c r="IB22" s="261"/>
    </row>
    <row r="23" spans="1:236" s="264" customFormat="1" ht="15.75" customHeight="1">
      <c r="A23" s="323">
        <v>2</v>
      </c>
      <c r="B23" s="324" t="s">
        <v>2766</v>
      </c>
      <c r="C23" s="331"/>
      <c r="D23" s="325"/>
      <c r="E23" s="330"/>
      <c r="F23" s="330"/>
      <c r="G23" s="330"/>
      <c r="H23" s="330"/>
      <c r="I23" s="330"/>
      <c r="J23" s="330"/>
      <c r="K23" s="330"/>
      <c r="L23" s="330"/>
      <c r="M23" s="330"/>
      <c r="N23" s="330"/>
      <c r="O23" s="330"/>
      <c r="P23" s="263"/>
      <c r="Q23" s="261"/>
      <c r="R23" s="261"/>
      <c r="S23" s="261"/>
      <c r="T23" s="261"/>
      <c r="U23" s="261"/>
      <c r="V23" s="261"/>
      <c r="W23" s="261"/>
      <c r="X23" s="261"/>
      <c r="Y23" s="261"/>
      <c r="Z23" s="261"/>
      <c r="AA23" s="261"/>
      <c r="AB23" s="261"/>
      <c r="AC23" s="261"/>
      <c r="AD23" s="261"/>
      <c r="AE23" s="261"/>
      <c r="AF23" s="261"/>
      <c r="AG23" s="261"/>
      <c r="AH23" s="261"/>
      <c r="AI23" s="261"/>
      <c r="AJ23" s="261"/>
      <c r="AK23" s="261"/>
      <c r="AL23" s="261"/>
      <c r="AM23" s="261"/>
      <c r="AN23" s="261"/>
      <c r="AO23" s="261"/>
      <c r="AP23" s="261"/>
      <c r="AQ23" s="261"/>
      <c r="AR23" s="261"/>
      <c r="AS23" s="261"/>
      <c r="AT23" s="261"/>
      <c r="AU23" s="261"/>
      <c r="AV23" s="261"/>
      <c r="AW23" s="261"/>
      <c r="AX23" s="261"/>
      <c r="AY23" s="261"/>
      <c r="AZ23" s="261"/>
      <c r="BA23" s="261"/>
      <c r="BB23" s="261"/>
      <c r="BC23" s="261"/>
      <c r="BD23" s="261"/>
      <c r="BE23" s="261"/>
      <c r="BF23" s="261"/>
      <c r="BG23" s="261"/>
      <c r="BH23" s="261"/>
      <c r="BI23" s="261"/>
      <c r="BJ23" s="261"/>
      <c r="BK23" s="261"/>
      <c r="BL23" s="261"/>
      <c r="BM23" s="261"/>
      <c r="BN23" s="261"/>
      <c r="BO23" s="261"/>
      <c r="BP23" s="261"/>
      <c r="BQ23" s="261"/>
      <c r="BR23" s="261"/>
      <c r="BS23" s="261"/>
      <c r="BT23" s="261"/>
      <c r="BU23" s="261"/>
      <c r="BV23" s="261"/>
      <c r="BW23" s="261"/>
      <c r="BX23" s="261"/>
      <c r="BY23" s="261"/>
      <c r="BZ23" s="261"/>
      <c r="CA23" s="261"/>
      <c r="CB23" s="261"/>
      <c r="CC23" s="261"/>
      <c r="CD23" s="261"/>
      <c r="CE23" s="261"/>
      <c r="CF23" s="261"/>
      <c r="CG23" s="261"/>
      <c r="CH23" s="261"/>
      <c r="CI23" s="261"/>
      <c r="CJ23" s="261"/>
      <c r="CK23" s="261"/>
      <c r="CL23" s="261"/>
      <c r="CM23" s="261"/>
      <c r="CN23" s="261"/>
      <c r="CO23" s="261"/>
      <c r="CP23" s="261"/>
      <c r="CQ23" s="261"/>
      <c r="CR23" s="261"/>
      <c r="CS23" s="261"/>
      <c r="CT23" s="261"/>
      <c r="CU23" s="261"/>
      <c r="CV23" s="261"/>
      <c r="CW23" s="261"/>
      <c r="CX23" s="261"/>
      <c r="CY23" s="261"/>
      <c r="CZ23" s="261"/>
      <c r="DA23" s="261"/>
      <c r="DB23" s="261"/>
      <c r="DC23" s="261"/>
      <c r="DD23" s="261"/>
      <c r="DE23" s="261"/>
      <c r="DF23" s="261"/>
      <c r="DG23" s="261"/>
      <c r="DH23" s="261"/>
      <c r="DI23" s="261"/>
      <c r="DJ23" s="261"/>
      <c r="DK23" s="261"/>
      <c r="DL23" s="261"/>
      <c r="DM23" s="261"/>
      <c r="DN23" s="261"/>
      <c r="DO23" s="261"/>
      <c r="DP23" s="261"/>
      <c r="DQ23" s="261"/>
      <c r="DR23" s="261"/>
      <c r="DS23" s="261"/>
      <c r="DT23" s="261"/>
      <c r="DU23" s="261"/>
      <c r="DV23" s="261"/>
      <c r="DW23" s="261"/>
      <c r="DX23" s="261"/>
      <c r="DY23" s="261"/>
      <c r="DZ23" s="261"/>
      <c r="EA23" s="261"/>
      <c r="EB23" s="261"/>
      <c r="EC23" s="261"/>
      <c r="ED23" s="261"/>
      <c r="EE23" s="261"/>
      <c r="EF23" s="261"/>
      <c r="EG23" s="261"/>
      <c r="EH23" s="261"/>
      <c r="EI23" s="261"/>
      <c r="EJ23" s="261"/>
      <c r="EK23" s="261"/>
      <c r="EL23" s="261"/>
      <c r="EM23" s="261"/>
      <c r="EN23" s="261"/>
      <c r="EO23" s="261"/>
      <c r="EP23" s="261"/>
      <c r="EQ23" s="261"/>
      <c r="ER23" s="261"/>
      <c r="ES23" s="261"/>
      <c r="ET23" s="261"/>
      <c r="EU23" s="261"/>
      <c r="EV23" s="261"/>
      <c r="EW23" s="261"/>
      <c r="EX23" s="261"/>
      <c r="EY23" s="261"/>
      <c r="EZ23" s="261"/>
      <c r="FA23" s="261"/>
      <c r="FB23" s="261"/>
      <c r="FC23" s="261"/>
      <c r="FD23" s="261"/>
      <c r="FE23" s="261"/>
      <c r="FF23" s="261"/>
      <c r="FG23" s="261"/>
      <c r="FH23" s="261"/>
      <c r="FI23" s="261"/>
      <c r="FJ23" s="261"/>
      <c r="FK23" s="261"/>
      <c r="FL23" s="261"/>
      <c r="FM23" s="261"/>
      <c r="FN23" s="261"/>
      <c r="FO23" s="261"/>
      <c r="FP23" s="261"/>
      <c r="FQ23" s="261"/>
      <c r="FR23" s="261"/>
      <c r="FS23" s="261"/>
      <c r="FT23" s="261"/>
      <c r="FU23" s="261"/>
      <c r="FV23" s="261"/>
      <c r="FW23" s="261"/>
      <c r="FX23" s="261"/>
      <c r="FY23" s="261"/>
      <c r="FZ23" s="261"/>
      <c r="GA23" s="261"/>
      <c r="GB23" s="261"/>
      <c r="GC23" s="261"/>
      <c r="GD23" s="261"/>
      <c r="GE23" s="261"/>
      <c r="GF23" s="261"/>
      <c r="GG23" s="261"/>
      <c r="GH23" s="261"/>
      <c r="GI23" s="261"/>
      <c r="GJ23" s="261"/>
      <c r="GK23" s="261"/>
      <c r="GL23" s="261"/>
      <c r="GM23" s="261"/>
      <c r="GN23" s="261"/>
      <c r="GO23" s="261"/>
      <c r="GP23" s="261"/>
      <c r="GQ23" s="261"/>
      <c r="GR23" s="261"/>
      <c r="GS23" s="261"/>
      <c r="GT23" s="261"/>
      <c r="GU23" s="261"/>
      <c r="GV23" s="261"/>
      <c r="GW23" s="261"/>
      <c r="GX23" s="261"/>
      <c r="GY23" s="261"/>
      <c r="GZ23" s="261"/>
      <c r="HA23" s="261"/>
      <c r="HB23" s="261"/>
      <c r="HC23" s="261"/>
      <c r="HD23" s="261"/>
      <c r="HE23" s="261"/>
      <c r="HF23" s="261"/>
      <c r="HG23" s="261"/>
      <c r="HH23" s="261"/>
      <c r="HI23" s="261"/>
      <c r="HJ23" s="261"/>
      <c r="HK23" s="261"/>
      <c r="HL23" s="261"/>
      <c r="HM23" s="261"/>
      <c r="HN23" s="261"/>
      <c r="HO23" s="261"/>
      <c r="HP23" s="261"/>
      <c r="HQ23" s="261"/>
      <c r="HR23" s="261"/>
      <c r="HS23" s="261"/>
      <c r="HT23" s="261"/>
      <c r="HU23" s="261"/>
      <c r="HV23" s="261"/>
      <c r="HW23" s="261"/>
      <c r="HX23" s="261"/>
      <c r="HY23" s="261"/>
      <c r="HZ23" s="261"/>
      <c r="IA23" s="261"/>
      <c r="IB23" s="261"/>
    </row>
    <row r="24" spans="1:236" s="264" customFormat="1" ht="15.75" customHeight="1">
      <c r="A24" s="334"/>
      <c r="B24" s="335" t="s">
        <v>2767</v>
      </c>
      <c r="C24" s="331"/>
      <c r="D24" s="325" t="s">
        <v>484</v>
      </c>
      <c r="E24" s="330">
        <v>260000</v>
      </c>
      <c r="F24" s="336">
        <v>250000</v>
      </c>
      <c r="G24" s="330">
        <v>380000</v>
      </c>
      <c r="H24" s="330">
        <v>380000</v>
      </c>
      <c r="I24" s="330">
        <v>400000</v>
      </c>
      <c r="J24" s="336">
        <v>500000</v>
      </c>
      <c r="K24" s="330">
        <v>390000</v>
      </c>
      <c r="L24" s="330">
        <v>450000</v>
      </c>
      <c r="M24" s="330">
        <v>400000</v>
      </c>
      <c r="N24" s="336">
        <v>520000</v>
      </c>
      <c r="O24" s="370">
        <v>460000</v>
      </c>
      <c r="P24" s="261"/>
      <c r="Q24" s="261"/>
      <c r="R24" s="261"/>
      <c r="S24" s="261"/>
      <c r="T24" s="261"/>
      <c r="U24" s="261"/>
      <c r="V24" s="261"/>
      <c r="W24" s="261"/>
      <c r="X24" s="261"/>
      <c r="Y24" s="261"/>
      <c r="Z24" s="261"/>
      <c r="AA24" s="261"/>
      <c r="AB24" s="261"/>
      <c r="AC24" s="261"/>
      <c r="AD24" s="261"/>
      <c r="AE24" s="261"/>
      <c r="AF24" s="261"/>
      <c r="AG24" s="261"/>
      <c r="AH24" s="261"/>
      <c r="AI24" s="261"/>
      <c r="AJ24" s="261"/>
      <c r="AK24" s="261"/>
      <c r="AL24" s="261"/>
      <c r="AM24" s="261"/>
      <c r="AN24" s="261"/>
      <c r="AO24" s="261"/>
      <c r="AP24" s="261"/>
      <c r="AQ24" s="261"/>
      <c r="AR24" s="261"/>
      <c r="AS24" s="261"/>
      <c r="AT24" s="261"/>
      <c r="AU24" s="261"/>
      <c r="AV24" s="261"/>
      <c r="AW24" s="261"/>
      <c r="AX24" s="261"/>
      <c r="AY24" s="261"/>
      <c r="AZ24" s="261"/>
      <c r="BA24" s="261"/>
      <c r="BB24" s="261"/>
      <c r="BC24" s="261"/>
      <c r="BD24" s="261"/>
      <c r="BE24" s="261"/>
      <c r="BF24" s="261"/>
      <c r="BG24" s="261"/>
      <c r="BH24" s="261"/>
      <c r="BI24" s="261"/>
      <c r="BJ24" s="261"/>
      <c r="BK24" s="261"/>
      <c r="BL24" s="261"/>
      <c r="BM24" s="261"/>
      <c r="BN24" s="261"/>
      <c r="BO24" s="261"/>
      <c r="BP24" s="261"/>
      <c r="BQ24" s="261"/>
      <c r="BR24" s="261"/>
      <c r="BS24" s="261"/>
      <c r="BT24" s="261"/>
      <c r="BU24" s="261"/>
      <c r="BV24" s="261"/>
      <c r="BW24" s="261"/>
      <c r="BX24" s="261"/>
      <c r="BY24" s="261"/>
      <c r="BZ24" s="261"/>
      <c r="CA24" s="261"/>
      <c r="CB24" s="261"/>
      <c r="CC24" s="261"/>
      <c r="CD24" s="261"/>
      <c r="CE24" s="261"/>
      <c r="CF24" s="261"/>
      <c r="CG24" s="261"/>
      <c r="CH24" s="261"/>
      <c r="CI24" s="261"/>
      <c r="CJ24" s="261"/>
      <c r="CK24" s="261"/>
      <c r="CL24" s="261"/>
      <c r="CM24" s="261"/>
      <c r="CN24" s="261"/>
      <c r="CO24" s="261"/>
      <c r="CP24" s="261"/>
      <c r="CQ24" s="261"/>
      <c r="CR24" s="261"/>
      <c r="CS24" s="261"/>
      <c r="CT24" s="261"/>
      <c r="CU24" s="261"/>
      <c r="CV24" s="261"/>
      <c r="CW24" s="261"/>
      <c r="CX24" s="261"/>
      <c r="CY24" s="261"/>
      <c r="CZ24" s="261"/>
      <c r="DA24" s="261"/>
      <c r="DB24" s="261"/>
      <c r="DC24" s="261"/>
      <c r="DD24" s="261"/>
      <c r="DE24" s="261"/>
      <c r="DF24" s="261"/>
      <c r="DG24" s="261"/>
      <c r="DH24" s="261"/>
      <c r="DI24" s="261"/>
      <c r="DJ24" s="261"/>
      <c r="DK24" s="261"/>
      <c r="DL24" s="261"/>
      <c r="DM24" s="261"/>
      <c r="DN24" s="261"/>
      <c r="DO24" s="261"/>
      <c r="DP24" s="261"/>
      <c r="DQ24" s="261"/>
      <c r="DR24" s="261"/>
      <c r="DS24" s="261"/>
      <c r="DT24" s="261"/>
      <c r="DU24" s="261"/>
      <c r="DV24" s="261"/>
      <c r="DW24" s="261"/>
      <c r="DX24" s="261"/>
      <c r="DY24" s="261"/>
      <c r="DZ24" s="261"/>
      <c r="EA24" s="261"/>
      <c r="EB24" s="261"/>
      <c r="EC24" s="261"/>
      <c r="ED24" s="261"/>
      <c r="EE24" s="261"/>
      <c r="EF24" s="261"/>
      <c r="EG24" s="261"/>
      <c r="EH24" s="261"/>
      <c r="EI24" s="261"/>
      <c r="EJ24" s="261"/>
      <c r="EK24" s="261"/>
      <c r="EL24" s="261"/>
      <c r="EM24" s="261"/>
      <c r="EN24" s="261"/>
      <c r="EO24" s="261"/>
      <c r="EP24" s="261"/>
      <c r="EQ24" s="261"/>
      <c r="ER24" s="261"/>
      <c r="ES24" s="261"/>
      <c r="ET24" s="261"/>
      <c r="EU24" s="261"/>
      <c r="EV24" s="261"/>
      <c r="EW24" s="261"/>
      <c r="EX24" s="261"/>
      <c r="EY24" s="261"/>
      <c r="EZ24" s="261"/>
      <c r="FA24" s="261"/>
      <c r="FB24" s="261"/>
      <c r="FC24" s="261"/>
      <c r="FD24" s="261"/>
      <c r="FE24" s="261"/>
      <c r="FF24" s="261"/>
      <c r="FG24" s="261"/>
      <c r="FH24" s="261"/>
      <c r="FI24" s="261"/>
      <c r="FJ24" s="261"/>
      <c r="FK24" s="261"/>
      <c r="FL24" s="261"/>
      <c r="FM24" s="261"/>
      <c r="FN24" s="261"/>
      <c r="FO24" s="261"/>
      <c r="FP24" s="261"/>
      <c r="FQ24" s="261"/>
      <c r="FR24" s="261"/>
      <c r="FS24" s="261"/>
      <c r="FT24" s="261"/>
      <c r="FU24" s="261"/>
      <c r="FV24" s="261"/>
      <c r="FW24" s="261"/>
      <c r="FX24" s="261"/>
      <c r="FY24" s="261"/>
      <c r="FZ24" s="261"/>
      <c r="GA24" s="261"/>
      <c r="GB24" s="261"/>
      <c r="GC24" s="261"/>
      <c r="GD24" s="261"/>
      <c r="GE24" s="261"/>
      <c r="GF24" s="261"/>
      <c r="GG24" s="261"/>
      <c r="GH24" s="261"/>
      <c r="GI24" s="261"/>
      <c r="GJ24" s="261"/>
      <c r="GK24" s="261"/>
      <c r="GL24" s="261"/>
      <c r="GM24" s="261"/>
      <c r="GN24" s="261"/>
      <c r="GO24" s="261"/>
      <c r="GP24" s="261"/>
      <c r="GQ24" s="261"/>
      <c r="GR24" s="261"/>
      <c r="GS24" s="261"/>
      <c r="GT24" s="261"/>
      <c r="GU24" s="261"/>
      <c r="GV24" s="261"/>
      <c r="GW24" s="261"/>
      <c r="GX24" s="261"/>
      <c r="GY24" s="261"/>
      <c r="GZ24" s="261"/>
      <c r="HA24" s="261"/>
      <c r="HB24" s="261"/>
      <c r="HC24" s="261"/>
      <c r="HD24" s="261"/>
      <c r="HE24" s="261"/>
      <c r="HF24" s="261"/>
      <c r="HG24" s="261"/>
      <c r="HH24" s="261"/>
      <c r="HI24" s="261"/>
      <c r="HJ24" s="261"/>
      <c r="HK24" s="261"/>
      <c r="HL24" s="261"/>
      <c r="HM24" s="261"/>
      <c r="HN24" s="261"/>
      <c r="HO24" s="261"/>
      <c r="HP24" s="261"/>
      <c r="HQ24" s="261"/>
      <c r="HR24" s="261"/>
      <c r="HS24" s="261"/>
      <c r="HT24" s="261"/>
      <c r="HU24" s="261"/>
      <c r="HV24" s="261"/>
      <c r="HW24" s="261"/>
      <c r="HX24" s="261"/>
      <c r="HY24" s="261"/>
      <c r="HZ24" s="261"/>
      <c r="IA24" s="261"/>
      <c r="IB24" s="261"/>
    </row>
    <row r="25" spans="1:236" s="264" customFormat="1" ht="15.75" customHeight="1">
      <c r="A25" s="327"/>
      <c r="B25" s="335" t="s">
        <v>2768</v>
      </c>
      <c r="C25" s="331"/>
      <c r="D25" s="325" t="s">
        <v>282</v>
      </c>
      <c r="E25" s="330">
        <v>310000</v>
      </c>
      <c r="F25" s="336">
        <v>300000</v>
      </c>
      <c r="G25" s="330">
        <v>400000</v>
      </c>
      <c r="H25" s="330">
        <v>400000</v>
      </c>
      <c r="I25" s="330">
        <v>450000</v>
      </c>
      <c r="J25" s="336"/>
      <c r="K25" s="330">
        <v>430000</v>
      </c>
      <c r="L25" s="330">
        <v>490000</v>
      </c>
      <c r="M25" s="330">
        <v>420000</v>
      </c>
      <c r="N25" s="336">
        <v>520000</v>
      </c>
      <c r="O25" s="370">
        <v>480000</v>
      </c>
      <c r="P25" s="261"/>
      <c r="Q25" s="261"/>
      <c r="R25" s="261"/>
      <c r="S25" s="261"/>
      <c r="T25" s="261"/>
      <c r="U25" s="261"/>
      <c r="V25" s="261"/>
      <c r="W25" s="261"/>
      <c r="X25" s="261"/>
      <c r="Y25" s="261"/>
      <c r="Z25" s="261"/>
      <c r="AA25" s="261"/>
      <c r="AB25" s="261"/>
      <c r="AC25" s="261"/>
      <c r="AD25" s="261"/>
      <c r="AE25" s="261"/>
      <c r="AF25" s="261"/>
      <c r="AG25" s="261"/>
      <c r="AH25" s="261"/>
      <c r="AI25" s="261"/>
      <c r="AJ25" s="261"/>
      <c r="AK25" s="261"/>
      <c r="AL25" s="261"/>
      <c r="AM25" s="261"/>
      <c r="AN25" s="261"/>
      <c r="AO25" s="261"/>
      <c r="AP25" s="261"/>
      <c r="AQ25" s="261"/>
      <c r="AR25" s="261"/>
      <c r="AS25" s="261"/>
      <c r="AT25" s="261"/>
      <c r="AU25" s="261"/>
      <c r="AV25" s="261"/>
      <c r="AW25" s="261"/>
      <c r="AX25" s="261"/>
      <c r="AY25" s="261"/>
      <c r="AZ25" s="261"/>
      <c r="BA25" s="261"/>
      <c r="BB25" s="261"/>
      <c r="BC25" s="261"/>
      <c r="BD25" s="261"/>
      <c r="BE25" s="261"/>
      <c r="BF25" s="261"/>
      <c r="BG25" s="261"/>
      <c r="BH25" s="261"/>
      <c r="BI25" s="261"/>
      <c r="BJ25" s="261"/>
      <c r="BK25" s="261"/>
      <c r="BL25" s="261"/>
      <c r="BM25" s="261"/>
      <c r="BN25" s="261"/>
      <c r="BO25" s="261"/>
      <c r="BP25" s="261"/>
      <c r="BQ25" s="261"/>
      <c r="BR25" s="261"/>
      <c r="BS25" s="261"/>
      <c r="BT25" s="261"/>
      <c r="BU25" s="261"/>
      <c r="BV25" s="261"/>
      <c r="BW25" s="261"/>
      <c r="BX25" s="261"/>
      <c r="BY25" s="261"/>
      <c r="BZ25" s="261"/>
      <c r="CA25" s="261"/>
      <c r="CB25" s="261"/>
      <c r="CC25" s="261"/>
      <c r="CD25" s="261"/>
      <c r="CE25" s="261"/>
      <c r="CF25" s="261"/>
      <c r="CG25" s="261"/>
      <c r="CH25" s="261"/>
      <c r="CI25" s="261"/>
      <c r="CJ25" s="261"/>
      <c r="CK25" s="261"/>
      <c r="CL25" s="261"/>
      <c r="CM25" s="261"/>
      <c r="CN25" s="261"/>
      <c r="CO25" s="261"/>
      <c r="CP25" s="261"/>
      <c r="CQ25" s="261"/>
      <c r="CR25" s="261"/>
      <c r="CS25" s="261"/>
      <c r="CT25" s="261"/>
      <c r="CU25" s="261"/>
      <c r="CV25" s="261"/>
      <c r="CW25" s="261"/>
      <c r="CX25" s="261"/>
      <c r="CY25" s="261"/>
      <c r="CZ25" s="261"/>
      <c r="DA25" s="261"/>
      <c r="DB25" s="261"/>
      <c r="DC25" s="261"/>
      <c r="DD25" s="261"/>
      <c r="DE25" s="261"/>
      <c r="DF25" s="261"/>
      <c r="DG25" s="261"/>
      <c r="DH25" s="261"/>
      <c r="DI25" s="261"/>
      <c r="DJ25" s="261"/>
      <c r="DK25" s="261"/>
      <c r="DL25" s="261"/>
      <c r="DM25" s="261"/>
      <c r="DN25" s="261"/>
      <c r="DO25" s="261"/>
      <c r="DP25" s="261"/>
      <c r="DQ25" s="261"/>
      <c r="DR25" s="261"/>
      <c r="DS25" s="261"/>
      <c r="DT25" s="261"/>
      <c r="DU25" s="261"/>
      <c r="DV25" s="261"/>
      <c r="DW25" s="261"/>
      <c r="DX25" s="261"/>
      <c r="DY25" s="261"/>
      <c r="DZ25" s="261"/>
      <c r="EA25" s="261"/>
      <c r="EB25" s="261"/>
      <c r="EC25" s="261"/>
      <c r="ED25" s="261"/>
      <c r="EE25" s="261"/>
      <c r="EF25" s="261"/>
      <c r="EG25" s="261"/>
      <c r="EH25" s="261"/>
      <c r="EI25" s="261"/>
      <c r="EJ25" s="261"/>
      <c r="EK25" s="261"/>
      <c r="EL25" s="261"/>
      <c r="EM25" s="261"/>
      <c r="EN25" s="261"/>
      <c r="EO25" s="261"/>
      <c r="EP25" s="261"/>
      <c r="EQ25" s="261"/>
      <c r="ER25" s="261"/>
      <c r="ES25" s="261"/>
      <c r="ET25" s="261"/>
      <c r="EU25" s="261"/>
      <c r="EV25" s="261"/>
      <c r="EW25" s="261"/>
      <c r="EX25" s="261"/>
      <c r="EY25" s="261"/>
      <c r="EZ25" s="261"/>
      <c r="FA25" s="261"/>
      <c r="FB25" s="261"/>
      <c r="FC25" s="261"/>
      <c r="FD25" s="261"/>
      <c r="FE25" s="261"/>
      <c r="FF25" s="261"/>
      <c r="FG25" s="261"/>
      <c r="FH25" s="261"/>
      <c r="FI25" s="261"/>
      <c r="FJ25" s="261"/>
      <c r="FK25" s="261"/>
      <c r="FL25" s="261"/>
      <c r="FM25" s="261"/>
      <c r="FN25" s="261"/>
      <c r="FO25" s="261"/>
      <c r="FP25" s="261"/>
      <c r="FQ25" s="261"/>
      <c r="FR25" s="261"/>
      <c r="FS25" s="261"/>
      <c r="FT25" s="261"/>
      <c r="FU25" s="261"/>
      <c r="FV25" s="261"/>
      <c r="FW25" s="261"/>
      <c r="FX25" s="261"/>
      <c r="FY25" s="261"/>
      <c r="FZ25" s="261"/>
      <c r="GA25" s="261"/>
      <c r="GB25" s="261"/>
      <c r="GC25" s="261"/>
      <c r="GD25" s="261"/>
      <c r="GE25" s="261"/>
      <c r="GF25" s="261"/>
      <c r="GG25" s="261"/>
      <c r="GH25" s="261"/>
      <c r="GI25" s="261"/>
      <c r="GJ25" s="261"/>
      <c r="GK25" s="261"/>
      <c r="GL25" s="261"/>
      <c r="GM25" s="261"/>
      <c r="GN25" s="261"/>
      <c r="GO25" s="261"/>
      <c r="GP25" s="261"/>
      <c r="GQ25" s="261"/>
      <c r="GR25" s="261"/>
      <c r="GS25" s="261"/>
      <c r="GT25" s="261"/>
      <c r="GU25" s="261"/>
      <c r="GV25" s="261"/>
      <c r="GW25" s="261"/>
      <c r="GX25" s="261"/>
      <c r="GY25" s="261"/>
      <c r="GZ25" s="261"/>
      <c r="HA25" s="261"/>
      <c r="HB25" s="261"/>
      <c r="HC25" s="261"/>
      <c r="HD25" s="261"/>
      <c r="HE25" s="261"/>
      <c r="HF25" s="261"/>
      <c r="HG25" s="261"/>
      <c r="HH25" s="261"/>
      <c r="HI25" s="261"/>
      <c r="HJ25" s="261"/>
      <c r="HK25" s="261"/>
      <c r="HL25" s="261"/>
      <c r="HM25" s="261"/>
      <c r="HN25" s="261"/>
      <c r="HO25" s="261"/>
      <c r="HP25" s="261"/>
      <c r="HQ25" s="261"/>
      <c r="HR25" s="261"/>
      <c r="HS25" s="261"/>
      <c r="HT25" s="261"/>
      <c r="HU25" s="261"/>
      <c r="HV25" s="261"/>
      <c r="HW25" s="261"/>
      <c r="HX25" s="261"/>
      <c r="HY25" s="261"/>
      <c r="HZ25" s="261"/>
      <c r="IA25" s="261"/>
      <c r="IB25" s="261"/>
    </row>
    <row r="26" spans="1:236" s="264" customFormat="1" ht="15.75" customHeight="1">
      <c r="A26" s="334"/>
      <c r="B26" s="335" t="s">
        <v>2769</v>
      </c>
      <c r="C26" s="331"/>
      <c r="D26" s="325" t="s">
        <v>282</v>
      </c>
      <c r="E26" s="330">
        <v>590000</v>
      </c>
      <c r="F26" s="336">
        <v>600000</v>
      </c>
      <c r="G26" s="330">
        <v>580000</v>
      </c>
      <c r="H26" s="330">
        <v>580000</v>
      </c>
      <c r="I26" s="330">
        <v>580000</v>
      </c>
      <c r="J26" s="336"/>
      <c r="K26" s="330">
        <v>580000</v>
      </c>
      <c r="L26" s="330">
        <v>600000</v>
      </c>
      <c r="M26" s="330">
        <v>700000</v>
      </c>
      <c r="N26" s="336">
        <v>640000</v>
      </c>
      <c r="O26" s="370">
        <v>580000</v>
      </c>
      <c r="P26" s="261"/>
      <c r="Q26" s="261"/>
      <c r="R26" s="261"/>
      <c r="S26" s="261"/>
      <c r="T26" s="261"/>
      <c r="U26" s="261"/>
      <c r="V26" s="261"/>
      <c r="W26" s="261"/>
      <c r="X26" s="261"/>
      <c r="Y26" s="261"/>
      <c r="Z26" s="261"/>
      <c r="AA26" s="261"/>
      <c r="AB26" s="261"/>
      <c r="AC26" s="261"/>
      <c r="AD26" s="261"/>
      <c r="AE26" s="261"/>
      <c r="AF26" s="261"/>
      <c r="AG26" s="261"/>
      <c r="AH26" s="261"/>
      <c r="AI26" s="261"/>
      <c r="AJ26" s="261"/>
      <c r="AK26" s="261"/>
      <c r="AL26" s="261"/>
      <c r="AM26" s="261"/>
      <c r="AN26" s="261"/>
      <c r="AO26" s="261"/>
      <c r="AP26" s="261"/>
      <c r="AQ26" s="261"/>
      <c r="AR26" s="261"/>
      <c r="AS26" s="261"/>
      <c r="AT26" s="261"/>
      <c r="AU26" s="261"/>
      <c r="AV26" s="261"/>
      <c r="AW26" s="261"/>
      <c r="AX26" s="261"/>
      <c r="AY26" s="261"/>
      <c r="AZ26" s="261"/>
      <c r="BA26" s="261"/>
      <c r="BB26" s="261"/>
      <c r="BC26" s="261"/>
      <c r="BD26" s="261"/>
      <c r="BE26" s="261"/>
      <c r="BF26" s="261"/>
      <c r="BG26" s="261"/>
      <c r="BH26" s="261"/>
      <c r="BI26" s="261"/>
      <c r="BJ26" s="261"/>
      <c r="BK26" s="261"/>
      <c r="BL26" s="261"/>
      <c r="BM26" s="261"/>
      <c r="BN26" s="261"/>
      <c r="BO26" s="261"/>
      <c r="BP26" s="261"/>
      <c r="BQ26" s="261"/>
      <c r="BR26" s="261"/>
      <c r="BS26" s="261"/>
      <c r="BT26" s="261"/>
      <c r="BU26" s="261"/>
      <c r="BV26" s="261"/>
      <c r="BW26" s="261"/>
      <c r="BX26" s="261"/>
      <c r="BY26" s="261"/>
      <c r="BZ26" s="261"/>
      <c r="CA26" s="261"/>
      <c r="CB26" s="261"/>
      <c r="CC26" s="261"/>
      <c r="CD26" s="261"/>
      <c r="CE26" s="261"/>
      <c r="CF26" s="261"/>
      <c r="CG26" s="261"/>
      <c r="CH26" s="261"/>
      <c r="CI26" s="261"/>
      <c r="CJ26" s="261"/>
      <c r="CK26" s="261"/>
      <c r="CL26" s="261"/>
      <c r="CM26" s="261"/>
      <c r="CN26" s="261"/>
      <c r="CO26" s="261"/>
      <c r="CP26" s="261"/>
      <c r="CQ26" s="261"/>
      <c r="CR26" s="261"/>
      <c r="CS26" s="261"/>
      <c r="CT26" s="261"/>
      <c r="CU26" s="261"/>
      <c r="CV26" s="261"/>
      <c r="CW26" s="261"/>
      <c r="CX26" s="261"/>
      <c r="CY26" s="261"/>
      <c r="CZ26" s="261"/>
      <c r="DA26" s="261"/>
      <c r="DB26" s="261"/>
      <c r="DC26" s="261"/>
      <c r="DD26" s="261"/>
      <c r="DE26" s="261"/>
      <c r="DF26" s="261"/>
      <c r="DG26" s="261"/>
      <c r="DH26" s="261"/>
      <c r="DI26" s="261"/>
      <c r="DJ26" s="261"/>
      <c r="DK26" s="261"/>
      <c r="DL26" s="261"/>
      <c r="DM26" s="261"/>
      <c r="DN26" s="261"/>
      <c r="DO26" s="261"/>
      <c r="DP26" s="261"/>
      <c r="DQ26" s="261"/>
      <c r="DR26" s="261"/>
      <c r="DS26" s="261"/>
      <c r="DT26" s="261"/>
      <c r="DU26" s="261"/>
      <c r="DV26" s="261"/>
      <c r="DW26" s="261"/>
      <c r="DX26" s="261"/>
      <c r="DY26" s="261"/>
      <c r="DZ26" s="261"/>
      <c r="EA26" s="261"/>
      <c r="EB26" s="261"/>
      <c r="EC26" s="261"/>
      <c r="ED26" s="261"/>
      <c r="EE26" s="261"/>
      <c r="EF26" s="261"/>
      <c r="EG26" s="261"/>
      <c r="EH26" s="261"/>
      <c r="EI26" s="261"/>
      <c r="EJ26" s="261"/>
      <c r="EK26" s="261"/>
      <c r="EL26" s="261"/>
      <c r="EM26" s="261"/>
      <c r="EN26" s="261"/>
      <c r="EO26" s="261"/>
      <c r="EP26" s="261"/>
      <c r="EQ26" s="261"/>
      <c r="ER26" s="261"/>
      <c r="ES26" s="261"/>
      <c r="ET26" s="261"/>
      <c r="EU26" s="261"/>
      <c r="EV26" s="261"/>
      <c r="EW26" s="261"/>
      <c r="EX26" s="261"/>
      <c r="EY26" s="261"/>
      <c r="EZ26" s="261"/>
      <c r="FA26" s="261"/>
      <c r="FB26" s="261"/>
      <c r="FC26" s="261"/>
      <c r="FD26" s="261"/>
      <c r="FE26" s="261"/>
      <c r="FF26" s="261"/>
      <c r="FG26" s="261"/>
      <c r="FH26" s="261"/>
      <c r="FI26" s="261"/>
      <c r="FJ26" s="261"/>
      <c r="FK26" s="261"/>
      <c r="FL26" s="261"/>
      <c r="FM26" s="261"/>
      <c r="FN26" s="261"/>
      <c r="FO26" s="261"/>
      <c r="FP26" s="261"/>
      <c r="FQ26" s="261"/>
      <c r="FR26" s="261"/>
      <c r="FS26" s="261"/>
      <c r="FT26" s="261"/>
      <c r="FU26" s="261"/>
      <c r="FV26" s="261"/>
      <c r="FW26" s="261"/>
      <c r="FX26" s="261"/>
      <c r="FY26" s="261"/>
      <c r="FZ26" s="261"/>
      <c r="GA26" s="261"/>
      <c r="GB26" s="261"/>
      <c r="GC26" s="261"/>
      <c r="GD26" s="261"/>
      <c r="GE26" s="261"/>
      <c r="GF26" s="261"/>
      <c r="GG26" s="261"/>
      <c r="GH26" s="261"/>
      <c r="GI26" s="261"/>
      <c r="GJ26" s="261"/>
      <c r="GK26" s="261"/>
      <c r="GL26" s="261"/>
      <c r="GM26" s="261"/>
      <c r="GN26" s="261"/>
      <c r="GO26" s="261"/>
      <c r="GP26" s="261"/>
      <c r="GQ26" s="261"/>
      <c r="GR26" s="261"/>
      <c r="GS26" s="261"/>
      <c r="GT26" s="261"/>
      <c r="GU26" s="261"/>
      <c r="GV26" s="261"/>
      <c r="GW26" s="261"/>
      <c r="GX26" s="261"/>
      <c r="GY26" s="261"/>
      <c r="GZ26" s="261"/>
      <c r="HA26" s="261"/>
      <c r="HB26" s="261"/>
      <c r="HC26" s="261"/>
      <c r="HD26" s="261"/>
      <c r="HE26" s="261"/>
      <c r="HF26" s="261"/>
      <c r="HG26" s="261"/>
      <c r="HH26" s="261"/>
      <c r="HI26" s="261"/>
      <c r="HJ26" s="261"/>
      <c r="HK26" s="261"/>
      <c r="HL26" s="261"/>
      <c r="HM26" s="261"/>
      <c r="HN26" s="261"/>
      <c r="HO26" s="261"/>
      <c r="HP26" s="261"/>
      <c r="HQ26" s="261"/>
      <c r="HR26" s="261"/>
      <c r="HS26" s="261"/>
      <c r="HT26" s="261"/>
      <c r="HU26" s="261"/>
      <c r="HV26" s="261"/>
      <c r="HW26" s="261"/>
      <c r="HX26" s="261"/>
      <c r="HY26" s="261"/>
      <c r="HZ26" s="261"/>
      <c r="IA26" s="261"/>
      <c r="IB26" s="261"/>
    </row>
    <row r="27" spans="1:236" s="264" customFormat="1" ht="15.75" customHeight="1">
      <c r="A27" s="323">
        <v>3</v>
      </c>
      <c r="B27" s="324" t="s">
        <v>279</v>
      </c>
      <c r="C27" s="324"/>
      <c r="D27" s="325"/>
      <c r="E27" s="326"/>
      <c r="F27" s="326"/>
      <c r="G27" s="326"/>
      <c r="H27" s="326"/>
      <c r="I27" s="326"/>
      <c r="J27" s="326"/>
      <c r="K27" s="326"/>
      <c r="L27" s="326"/>
      <c r="M27" s="326"/>
      <c r="N27" s="326"/>
      <c r="O27" s="326"/>
      <c r="P27" s="261"/>
      <c r="Q27" s="261"/>
      <c r="R27" s="261"/>
      <c r="S27" s="261"/>
      <c r="T27" s="261"/>
      <c r="U27" s="261"/>
      <c r="V27" s="261"/>
      <c r="W27" s="261"/>
      <c r="X27" s="261"/>
      <c r="Y27" s="261"/>
      <c r="Z27" s="261"/>
      <c r="AA27" s="261"/>
      <c r="AB27" s="261"/>
      <c r="AC27" s="261"/>
      <c r="AD27" s="261"/>
      <c r="AE27" s="261"/>
      <c r="AF27" s="261"/>
      <c r="AG27" s="261"/>
      <c r="AH27" s="261"/>
      <c r="AI27" s="261"/>
      <c r="AJ27" s="261"/>
      <c r="AK27" s="261"/>
      <c r="AL27" s="261"/>
      <c r="AM27" s="261"/>
      <c r="AN27" s="261"/>
      <c r="AO27" s="261"/>
      <c r="AP27" s="261"/>
      <c r="AQ27" s="261"/>
      <c r="AR27" s="261"/>
      <c r="AS27" s="261"/>
      <c r="AT27" s="261"/>
      <c r="AU27" s="261"/>
      <c r="AV27" s="261"/>
      <c r="AW27" s="261"/>
      <c r="AX27" s="261"/>
      <c r="AY27" s="261"/>
      <c r="AZ27" s="261"/>
      <c r="BA27" s="261"/>
      <c r="BB27" s="261"/>
      <c r="BC27" s="261"/>
      <c r="BD27" s="261"/>
      <c r="BE27" s="261"/>
      <c r="BF27" s="261"/>
      <c r="BG27" s="261"/>
      <c r="BH27" s="261"/>
      <c r="BI27" s="261"/>
      <c r="BJ27" s="261"/>
      <c r="BK27" s="261"/>
      <c r="BL27" s="261"/>
      <c r="BM27" s="261"/>
      <c r="BN27" s="261"/>
      <c r="BO27" s="261"/>
      <c r="BP27" s="261"/>
      <c r="BQ27" s="261"/>
      <c r="BR27" s="261"/>
      <c r="BS27" s="261"/>
      <c r="BT27" s="261"/>
      <c r="BU27" s="261"/>
      <c r="BV27" s="261"/>
      <c r="BW27" s="261"/>
      <c r="BX27" s="261"/>
      <c r="BY27" s="261"/>
      <c r="BZ27" s="261"/>
      <c r="CA27" s="261"/>
      <c r="CB27" s="261"/>
      <c r="CC27" s="261"/>
      <c r="CD27" s="261"/>
      <c r="CE27" s="261"/>
      <c r="CF27" s="261"/>
      <c r="CG27" s="261"/>
      <c r="CH27" s="261"/>
      <c r="CI27" s="261"/>
      <c r="CJ27" s="261"/>
      <c r="CK27" s="261"/>
      <c r="CL27" s="261"/>
      <c r="CM27" s="261"/>
      <c r="CN27" s="261"/>
      <c r="CO27" s="261"/>
      <c r="CP27" s="261"/>
      <c r="CQ27" s="261"/>
      <c r="CR27" s="261"/>
      <c r="CS27" s="261"/>
      <c r="CT27" s="261"/>
      <c r="CU27" s="261"/>
      <c r="CV27" s="261"/>
      <c r="CW27" s="261"/>
      <c r="CX27" s="261"/>
      <c r="CY27" s="261"/>
      <c r="CZ27" s="261"/>
      <c r="DA27" s="261"/>
      <c r="DB27" s="261"/>
      <c r="DC27" s="261"/>
      <c r="DD27" s="261"/>
      <c r="DE27" s="261"/>
      <c r="DF27" s="261"/>
      <c r="DG27" s="261"/>
      <c r="DH27" s="261"/>
      <c r="DI27" s="261"/>
      <c r="DJ27" s="261"/>
      <c r="DK27" s="261"/>
      <c r="DL27" s="261"/>
      <c r="DM27" s="261"/>
      <c r="DN27" s="261"/>
      <c r="DO27" s="261"/>
      <c r="DP27" s="261"/>
      <c r="DQ27" s="261"/>
      <c r="DR27" s="261"/>
      <c r="DS27" s="261"/>
      <c r="DT27" s="261"/>
      <c r="DU27" s="261"/>
      <c r="DV27" s="261"/>
      <c r="DW27" s="261"/>
      <c r="DX27" s="261"/>
      <c r="DY27" s="261"/>
      <c r="DZ27" s="261"/>
      <c r="EA27" s="261"/>
      <c r="EB27" s="261"/>
      <c r="EC27" s="261"/>
      <c r="ED27" s="261"/>
      <c r="EE27" s="261"/>
      <c r="EF27" s="261"/>
      <c r="EG27" s="261"/>
      <c r="EH27" s="261"/>
      <c r="EI27" s="261"/>
      <c r="EJ27" s="261"/>
      <c r="EK27" s="261"/>
      <c r="EL27" s="261"/>
      <c r="EM27" s="261"/>
      <c r="EN27" s="261"/>
      <c r="EO27" s="261"/>
      <c r="EP27" s="261"/>
      <c r="EQ27" s="261"/>
      <c r="ER27" s="261"/>
      <c r="ES27" s="261"/>
      <c r="ET27" s="261"/>
      <c r="EU27" s="261"/>
      <c r="EV27" s="261"/>
      <c r="EW27" s="261"/>
      <c r="EX27" s="261"/>
      <c r="EY27" s="261"/>
      <c r="EZ27" s="261"/>
      <c r="FA27" s="261"/>
      <c r="FB27" s="261"/>
      <c r="FC27" s="261"/>
      <c r="FD27" s="261"/>
      <c r="FE27" s="261"/>
      <c r="FF27" s="261"/>
      <c r="FG27" s="261"/>
      <c r="FH27" s="261"/>
      <c r="FI27" s="261"/>
      <c r="FJ27" s="261"/>
      <c r="FK27" s="261"/>
      <c r="FL27" s="261"/>
      <c r="FM27" s="261"/>
      <c r="FN27" s="261"/>
      <c r="FO27" s="261"/>
      <c r="FP27" s="261"/>
      <c r="FQ27" s="261"/>
      <c r="FR27" s="261"/>
      <c r="FS27" s="261"/>
      <c r="FT27" s="261"/>
      <c r="FU27" s="261"/>
      <c r="FV27" s="261"/>
      <c r="FW27" s="261"/>
      <c r="FX27" s="261"/>
      <c r="FY27" s="261"/>
      <c r="FZ27" s="261"/>
      <c r="GA27" s="261"/>
      <c r="GB27" s="261"/>
      <c r="GC27" s="261"/>
      <c r="GD27" s="261"/>
      <c r="GE27" s="261"/>
      <c r="GF27" s="261"/>
      <c r="GG27" s="261"/>
      <c r="GH27" s="261"/>
      <c r="GI27" s="261"/>
      <c r="GJ27" s="261"/>
      <c r="GK27" s="261"/>
      <c r="GL27" s="261"/>
      <c r="GM27" s="261"/>
      <c r="GN27" s="261"/>
      <c r="GO27" s="261"/>
      <c r="GP27" s="261"/>
      <c r="GQ27" s="261"/>
      <c r="GR27" s="261"/>
      <c r="GS27" s="261"/>
      <c r="GT27" s="261"/>
      <c r="GU27" s="261"/>
      <c r="GV27" s="261"/>
      <c r="GW27" s="261"/>
      <c r="GX27" s="261"/>
      <c r="GY27" s="261"/>
      <c r="GZ27" s="261"/>
      <c r="HA27" s="261"/>
      <c r="HB27" s="261"/>
      <c r="HC27" s="261"/>
      <c r="HD27" s="261"/>
      <c r="HE27" s="261"/>
      <c r="HF27" s="261"/>
      <c r="HG27" s="261"/>
      <c r="HH27" s="261"/>
      <c r="HI27" s="261"/>
      <c r="HJ27" s="261"/>
      <c r="HK27" s="261"/>
      <c r="HL27" s="261"/>
      <c r="HM27" s="261"/>
      <c r="HN27" s="261"/>
      <c r="HO27" s="261"/>
      <c r="HP27" s="261"/>
      <c r="HQ27" s="261"/>
      <c r="HR27" s="261"/>
      <c r="HS27" s="261"/>
      <c r="HT27" s="261"/>
      <c r="HU27" s="261"/>
      <c r="HV27" s="261"/>
      <c r="HW27" s="261"/>
      <c r="HX27" s="261"/>
      <c r="HY27" s="261"/>
      <c r="HZ27" s="261"/>
      <c r="IA27" s="261"/>
      <c r="IB27" s="261"/>
    </row>
    <row r="28" spans="1:236" s="264" customFormat="1" ht="15.75" customHeight="1">
      <c r="A28" s="334"/>
      <c r="B28" s="329" t="s">
        <v>161</v>
      </c>
      <c r="C28" s="329"/>
      <c r="D28" s="325" t="s">
        <v>595</v>
      </c>
      <c r="E28" s="326">
        <v>2000</v>
      </c>
      <c r="F28" s="326">
        <v>2000</v>
      </c>
      <c r="G28" s="326"/>
      <c r="H28" s="326"/>
      <c r="I28" s="326">
        <v>1600</v>
      </c>
      <c r="J28" s="326"/>
      <c r="K28" s="326">
        <v>1600</v>
      </c>
      <c r="L28" s="326"/>
      <c r="M28" s="326">
        <v>1600</v>
      </c>
      <c r="N28" s="326"/>
      <c r="O28" s="326"/>
      <c r="P28" s="263"/>
      <c r="Q28" s="261"/>
      <c r="R28" s="261"/>
      <c r="S28" s="261"/>
      <c r="T28" s="261"/>
      <c r="U28" s="261"/>
      <c r="V28" s="261"/>
      <c r="W28" s="261"/>
      <c r="X28" s="261"/>
      <c r="Y28" s="261"/>
      <c r="Z28" s="261"/>
      <c r="AA28" s="261"/>
      <c r="AB28" s="261"/>
      <c r="AC28" s="261"/>
      <c r="AD28" s="261"/>
      <c r="AE28" s="261"/>
      <c r="AF28" s="261"/>
      <c r="AG28" s="261"/>
      <c r="AH28" s="261"/>
      <c r="AI28" s="261"/>
      <c r="AJ28" s="261"/>
      <c r="AK28" s="261"/>
      <c r="AL28" s="261"/>
      <c r="AM28" s="261"/>
      <c r="AN28" s="261"/>
      <c r="AO28" s="261"/>
      <c r="AP28" s="261"/>
      <c r="AQ28" s="261"/>
      <c r="AR28" s="261"/>
      <c r="AS28" s="261"/>
      <c r="AT28" s="261"/>
      <c r="AU28" s="261"/>
      <c r="AV28" s="261"/>
      <c r="AW28" s="261"/>
      <c r="AX28" s="261"/>
      <c r="AY28" s="261"/>
      <c r="AZ28" s="261"/>
      <c r="BA28" s="261"/>
      <c r="BB28" s="261"/>
      <c r="BC28" s="261"/>
      <c r="BD28" s="261"/>
      <c r="BE28" s="261"/>
      <c r="BF28" s="261"/>
      <c r="BG28" s="261"/>
      <c r="BH28" s="261"/>
      <c r="BI28" s="261"/>
      <c r="BJ28" s="261"/>
      <c r="BK28" s="261"/>
      <c r="BL28" s="261"/>
      <c r="BM28" s="261"/>
      <c r="BN28" s="261"/>
      <c r="BO28" s="261"/>
      <c r="BP28" s="261"/>
      <c r="BQ28" s="261"/>
      <c r="BR28" s="261"/>
      <c r="BS28" s="261"/>
      <c r="BT28" s="261"/>
      <c r="BU28" s="261"/>
      <c r="BV28" s="261"/>
      <c r="BW28" s="261"/>
      <c r="BX28" s="261"/>
      <c r="BY28" s="261"/>
      <c r="BZ28" s="261"/>
      <c r="CA28" s="261"/>
      <c r="CB28" s="261"/>
      <c r="CC28" s="261"/>
      <c r="CD28" s="261"/>
      <c r="CE28" s="261"/>
      <c r="CF28" s="261"/>
      <c r="CG28" s="261"/>
      <c r="CH28" s="261"/>
      <c r="CI28" s="261"/>
      <c r="CJ28" s="261"/>
      <c r="CK28" s="261"/>
      <c r="CL28" s="261"/>
      <c r="CM28" s="261"/>
      <c r="CN28" s="261"/>
      <c r="CO28" s="261"/>
      <c r="CP28" s="261"/>
      <c r="CQ28" s="261"/>
      <c r="CR28" s="261"/>
      <c r="CS28" s="261"/>
      <c r="CT28" s="261"/>
      <c r="CU28" s="261"/>
      <c r="CV28" s="261"/>
      <c r="CW28" s="261"/>
      <c r="CX28" s="261"/>
      <c r="CY28" s="261"/>
      <c r="CZ28" s="261"/>
      <c r="DA28" s="261"/>
      <c r="DB28" s="261"/>
      <c r="DC28" s="261"/>
      <c r="DD28" s="261"/>
      <c r="DE28" s="261"/>
      <c r="DF28" s="261"/>
      <c r="DG28" s="261"/>
      <c r="DH28" s="261"/>
      <c r="DI28" s="261"/>
      <c r="DJ28" s="261"/>
      <c r="DK28" s="261"/>
      <c r="DL28" s="261"/>
      <c r="DM28" s="261"/>
      <c r="DN28" s="261"/>
      <c r="DO28" s="261"/>
      <c r="DP28" s="261"/>
      <c r="DQ28" s="261"/>
      <c r="DR28" s="261"/>
      <c r="DS28" s="261"/>
      <c r="DT28" s="261"/>
      <c r="DU28" s="261"/>
      <c r="DV28" s="261"/>
      <c r="DW28" s="261"/>
      <c r="DX28" s="261"/>
      <c r="DY28" s="261"/>
      <c r="DZ28" s="261"/>
      <c r="EA28" s="261"/>
      <c r="EB28" s="261"/>
      <c r="EC28" s="261"/>
      <c r="ED28" s="261"/>
      <c r="EE28" s="261"/>
      <c r="EF28" s="261"/>
      <c r="EG28" s="261"/>
      <c r="EH28" s="261"/>
      <c r="EI28" s="261"/>
      <c r="EJ28" s="261"/>
      <c r="EK28" s="261"/>
      <c r="EL28" s="261"/>
      <c r="EM28" s="261"/>
      <c r="EN28" s="261"/>
      <c r="EO28" s="261"/>
      <c r="EP28" s="261"/>
      <c r="EQ28" s="261"/>
      <c r="ER28" s="261"/>
      <c r="ES28" s="261"/>
      <c r="ET28" s="261"/>
      <c r="EU28" s="261"/>
      <c r="EV28" s="261"/>
      <c r="EW28" s="261"/>
      <c r="EX28" s="261"/>
      <c r="EY28" s="261"/>
      <c r="EZ28" s="261"/>
      <c r="FA28" s="261"/>
      <c r="FB28" s="261"/>
      <c r="FC28" s="261"/>
      <c r="FD28" s="261"/>
      <c r="FE28" s="261"/>
      <c r="FF28" s="261"/>
      <c r="FG28" s="261"/>
      <c r="FH28" s="261"/>
      <c r="FI28" s="261"/>
      <c r="FJ28" s="261"/>
      <c r="FK28" s="261"/>
      <c r="FL28" s="261"/>
      <c r="FM28" s="261"/>
      <c r="FN28" s="261"/>
      <c r="FO28" s="261"/>
      <c r="FP28" s="261"/>
      <c r="FQ28" s="261"/>
      <c r="FR28" s="261"/>
      <c r="FS28" s="261"/>
      <c r="FT28" s="261"/>
      <c r="FU28" s="261"/>
      <c r="FV28" s="261"/>
      <c r="FW28" s="261"/>
      <c r="FX28" s="261"/>
      <c r="FY28" s="261"/>
      <c r="FZ28" s="261"/>
      <c r="GA28" s="261"/>
      <c r="GB28" s="261"/>
      <c r="GC28" s="261"/>
      <c r="GD28" s="261"/>
      <c r="GE28" s="261"/>
      <c r="GF28" s="261"/>
      <c r="GG28" s="261"/>
      <c r="GH28" s="261"/>
      <c r="GI28" s="261"/>
      <c r="GJ28" s="261"/>
      <c r="GK28" s="261"/>
      <c r="GL28" s="261"/>
      <c r="GM28" s="261"/>
      <c r="GN28" s="261"/>
      <c r="GO28" s="261"/>
      <c r="GP28" s="261"/>
      <c r="GQ28" s="261"/>
      <c r="GR28" s="261"/>
      <c r="GS28" s="261"/>
      <c r="GT28" s="261"/>
      <c r="GU28" s="261"/>
      <c r="GV28" s="261"/>
      <c r="GW28" s="261"/>
      <c r="GX28" s="261"/>
      <c r="GY28" s="261"/>
      <c r="GZ28" s="261"/>
      <c r="HA28" s="261"/>
      <c r="HB28" s="261"/>
      <c r="HC28" s="261"/>
      <c r="HD28" s="261"/>
      <c r="HE28" s="261"/>
      <c r="HF28" s="261"/>
      <c r="HG28" s="261"/>
      <c r="HH28" s="261"/>
      <c r="HI28" s="261"/>
      <c r="HJ28" s="261"/>
      <c r="HK28" s="261"/>
      <c r="HL28" s="261"/>
      <c r="HM28" s="261"/>
      <c r="HN28" s="261"/>
      <c r="HO28" s="261"/>
      <c r="HP28" s="261"/>
      <c r="HQ28" s="261"/>
      <c r="HR28" s="261"/>
      <c r="HS28" s="261"/>
      <c r="HT28" s="261"/>
      <c r="HU28" s="261"/>
      <c r="HV28" s="261"/>
      <c r="HW28" s="261"/>
      <c r="HX28" s="261"/>
      <c r="HY28" s="261"/>
      <c r="HZ28" s="261"/>
      <c r="IA28" s="261"/>
      <c r="IB28" s="261"/>
    </row>
    <row r="29" spans="1:236" s="264" customFormat="1" ht="15.75" customHeight="1">
      <c r="A29" s="334"/>
      <c r="B29" s="329" t="s">
        <v>280</v>
      </c>
      <c r="C29" s="329"/>
      <c r="D29" s="325" t="s">
        <v>282</v>
      </c>
      <c r="E29" s="326">
        <v>3000</v>
      </c>
      <c r="F29" s="326">
        <v>3000</v>
      </c>
      <c r="G29" s="326"/>
      <c r="H29" s="326"/>
      <c r="I29" s="326">
        <v>2800</v>
      </c>
      <c r="J29" s="326">
        <v>2500</v>
      </c>
      <c r="K29" s="326">
        <v>2400</v>
      </c>
      <c r="L29" s="326"/>
      <c r="M29" s="326">
        <v>2800</v>
      </c>
      <c r="N29" s="326">
        <v>2500</v>
      </c>
      <c r="O29" s="326"/>
      <c r="P29" s="263"/>
      <c r="Q29" s="261"/>
      <c r="R29" s="261"/>
      <c r="S29" s="261"/>
      <c r="T29" s="261"/>
      <c r="U29" s="261"/>
      <c r="V29" s="261"/>
      <c r="W29" s="261"/>
      <c r="X29" s="261"/>
      <c r="Y29" s="261"/>
      <c r="Z29" s="261"/>
      <c r="AA29" s="261"/>
      <c r="AB29" s="261"/>
      <c r="AC29" s="261"/>
      <c r="AD29" s="261"/>
      <c r="AE29" s="261"/>
      <c r="AF29" s="261"/>
      <c r="AG29" s="261"/>
      <c r="AH29" s="261"/>
      <c r="AI29" s="261"/>
      <c r="AJ29" s="261"/>
      <c r="AK29" s="261"/>
      <c r="AL29" s="261"/>
      <c r="AM29" s="261"/>
      <c r="AN29" s="261"/>
      <c r="AO29" s="261"/>
      <c r="AP29" s="261"/>
      <c r="AQ29" s="261"/>
      <c r="AR29" s="261"/>
      <c r="AS29" s="261"/>
      <c r="AT29" s="261"/>
      <c r="AU29" s="261"/>
      <c r="AV29" s="261"/>
      <c r="AW29" s="261"/>
      <c r="AX29" s="261"/>
      <c r="AY29" s="261"/>
      <c r="AZ29" s="261"/>
      <c r="BA29" s="261"/>
      <c r="BB29" s="261"/>
      <c r="BC29" s="261"/>
      <c r="BD29" s="261"/>
      <c r="BE29" s="261"/>
      <c r="BF29" s="261"/>
      <c r="BG29" s="261"/>
      <c r="BH29" s="261"/>
      <c r="BI29" s="261"/>
      <c r="BJ29" s="261"/>
      <c r="BK29" s="261"/>
      <c r="BL29" s="261"/>
      <c r="BM29" s="261"/>
      <c r="BN29" s="261"/>
      <c r="BO29" s="261"/>
      <c r="BP29" s="261"/>
      <c r="BQ29" s="261"/>
      <c r="BR29" s="261"/>
      <c r="BS29" s="261"/>
      <c r="BT29" s="261"/>
      <c r="BU29" s="261"/>
      <c r="BV29" s="261"/>
      <c r="BW29" s="261"/>
      <c r="BX29" s="261"/>
      <c r="BY29" s="261"/>
      <c r="BZ29" s="261"/>
      <c r="CA29" s="261"/>
      <c r="CB29" s="261"/>
      <c r="CC29" s="261"/>
      <c r="CD29" s="261"/>
      <c r="CE29" s="261"/>
      <c r="CF29" s="261"/>
      <c r="CG29" s="261"/>
      <c r="CH29" s="261"/>
      <c r="CI29" s="261"/>
      <c r="CJ29" s="261"/>
      <c r="CK29" s="261"/>
      <c r="CL29" s="261"/>
      <c r="CM29" s="261"/>
      <c r="CN29" s="261"/>
      <c r="CO29" s="261"/>
      <c r="CP29" s="261"/>
      <c r="CQ29" s="261"/>
      <c r="CR29" s="261"/>
      <c r="CS29" s="261"/>
      <c r="CT29" s="261"/>
      <c r="CU29" s="261"/>
      <c r="CV29" s="261"/>
      <c r="CW29" s="261"/>
      <c r="CX29" s="261"/>
      <c r="CY29" s="261"/>
      <c r="CZ29" s="261"/>
      <c r="DA29" s="261"/>
      <c r="DB29" s="261"/>
      <c r="DC29" s="261"/>
      <c r="DD29" s="261"/>
      <c r="DE29" s="261"/>
      <c r="DF29" s="261"/>
      <c r="DG29" s="261"/>
      <c r="DH29" s="261"/>
      <c r="DI29" s="261"/>
      <c r="DJ29" s="261"/>
      <c r="DK29" s="261"/>
      <c r="DL29" s="261"/>
      <c r="DM29" s="261"/>
      <c r="DN29" s="261"/>
      <c r="DO29" s="261"/>
      <c r="DP29" s="261"/>
      <c r="DQ29" s="261"/>
      <c r="DR29" s="261"/>
      <c r="DS29" s="261"/>
      <c r="DT29" s="261"/>
      <c r="DU29" s="261"/>
      <c r="DV29" s="261"/>
      <c r="DW29" s="261"/>
      <c r="DX29" s="261"/>
      <c r="DY29" s="261"/>
      <c r="DZ29" s="261"/>
      <c r="EA29" s="261"/>
      <c r="EB29" s="261"/>
      <c r="EC29" s="261"/>
      <c r="ED29" s="261"/>
      <c r="EE29" s="261"/>
      <c r="EF29" s="261"/>
      <c r="EG29" s="261"/>
      <c r="EH29" s="261"/>
      <c r="EI29" s="261"/>
      <c r="EJ29" s="261"/>
      <c r="EK29" s="261"/>
      <c r="EL29" s="261"/>
      <c r="EM29" s="261"/>
      <c r="EN29" s="261"/>
      <c r="EO29" s="261"/>
      <c r="EP29" s="261"/>
      <c r="EQ29" s="261"/>
      <c r="ER29" s="261"/>
      <c r="ES29" s="261"/>
      <c r="ET29" s="261"/>
      <c r="EU29" s="261"/>
      <c r="EV29" s="261"/>
      <c r="EW29" s="261"/>
      <c r="EX29" s="261"/>
      <c r="EY29" s="261"/>
      <c r="EZ29" s="261"/>
      <c r="FA29" s="261"/>
      <c r="FB29" s="261"/>
      <c r="FC29" s="261"/>
      <c r="FD29" s="261"/>
      <c r="FE29" s="261"/>
      <c r="FF29" s="261"/>
      <c r="FG29" s="261"/>
      <c r="FH29" s="261"/>
      <c r="FI29" s="261"/>
      <c r="FJ29" s="261"/>
      <c r="FK29" s="261"/>
      <c r="FL29" s="261"/>
      <c r="FM29" s="261"/>
      <c r="FN29" s="261"/>
      <c r="FO29" s="261"/>
      <c r="FP29" s="261"/>
      <c r="FQ29" s="261"/>
      <c r="FR29" s="261"/>
      <c r="FS29" s="261"/>
      <c r="FT29" s="261"/>
      <c r="FU29" s="261"/>
      <c r="FV29" s="261"/>
      <c r="FW29" s="261"/>
      <c r="FX29" s="261"/>
      <c r="FY29" s="261"/>
      <c r="FZ29" s="261"/>
      <c r="GA29" s="261"/>
      <c r="GB29" s="261"/>
      <c r="GC29" s="261"/>
      <c r="GD29" s="261"/>
      <c r="GE29" s="261"/>
      <c r="GF29" s="261"/>
      <c r="GG29" s="261"/>
      <c r="GH29" s="261"/>
      <c r="GI29" s="261"/>
      <c r="GJ29" s="261"/>
      <c r="GK29" s="261"/>
      <c r="GL29" s="261"/>
      <c r="GM29" s="261"/>
      <c r="GN29" s="261"/>
      <c r="GO29" s="261"/>
      <c r="GP29" s="261"/>
      <c r="GQ29" s="261"/>
      <c r="GR29" s="261"/>
      <c r="GS29" s="261"/>
      <c r="GT29" s="261"/>
      <c r="GU29" s="261"/>
      <c r="GV29" s="261"/>
      <c r="GW29" s="261"/>
      <c r="GX29" s="261"/>
      <c r="GY29" s="261"/>
      <c r="GZ29" s="261"/>
      <c r="HA29" s="261"/>
      <c r="HB29" s="261"/>
      <c r="HC29" s="261"/>
      <c r="HD29" s="261"/>
      <c r="HE29" s="261"/>
      <c r="HF29" s="261"/>
      <c r="HG29" s="261"/>
      <c r="HH29" s="261"/>
      <c r="HI29" s="261"/>
      <c r="HJ29" s="261"/>
      <c r="HK29" s="261"/>
      <c r="HL29" s="261"/>
      <c r="HM29" s="261"/>
      <c r="HN29" s="261"/>
      <c r="HO29" s="261"/>
      <c r="HP29" s="261"/>
      <c r="HQ29" s="261"/>
      <c r="HR29" s="261"/>
      <c r="HS29" s="261"/>
      <c r="HT29" s="261"/>
      <c r="HU29" s="261"/>
      <c r="HV29" s="261"/>
      <c r="HW29" s="261"/>
      <c r="HX29" s="261"/>
      <c r="HY29" s="261"/>
      <c r="HZ29" s="261"/>
      <c r="IA29" s="261"/>
      <c r="IB29" s="261"/>
    </row>
    <row r="30" spans="1:236" s="264" customFormat="1" ht="15.75" customHeight="1">
      <c r="A30" s="337">
        <v>4</v>
      </c>
      <c r="B30" s="338" t="s">
        <v>589</v>
      </c>
      <c r="C30" s="338"/>
      <c r="D30" s="339"/>
      <c r="E30" s="326"/>
      <c r="F30" s="326"/>
      <c r="G30" s="340"/>
      <c r="H30" s="340"/>
      <c r="I30" s="326"/>
      <c r="J30" s="326"/>
      <c r="K30" s="326"/>
      <c r="L30" s="326"/>
      <c r="M30" s="326"/>
      <c r="N30" s="326"/>
      <c r="O30" s="326"/>
      <c r="P30" s="263"/>
      <c r="Q30" s="261"/>
      <c r="R30" s="261"/>
      <c r="S30" s="261"/>
      <c r="T30" s="261"/>
      <c r="U30" s="261"/>
      <c r="V30" s="261"/>
      <c r="W30" s="261"/>
      <c r="X30" s="261"/>
      <c r="Y30" s="261"/>
      <c r="Z30" s="261"/>
      <c r="AA30" s="261"/>
      <c r="AB30" s="261"/>
      <c r="AC30" s="261"/>
      <c r="AD30" s="261"/>
      <c r="AE30" s="261"/>
      <c r="AF30" s="261"/>
      <c r="AG30" s="261"/>
      <c r="AH30" s="261"/>
      <c r="AI30" s="261"/>
      <c r="AJ30" s="261"/>
      <c r="AK30" s="261"/>
      <c r="AL30" s="261"/>
      <c r="AM30" s="261"/>
      <c r="AN30" s="261"/>
      <c r="AO30" s="261"/>
      <c r="AP30" s="261"/>
      <c r="AQ30" s="261"/>
      <c r="AR30" s="261"/>
      <c r="AS30" s="261"/>
      <c r="AT30" s="261"/>
      <c r="AU30" s="261"/>
      <c r="AV30" s="261"/>
      <c r="AW30" s="261"/>
      <c r="AX30" s="261"/>
      <c r="AY30" s="261"/>
      <c r="AZ30" s="261"/>
      <c r="BA30" s="261"/>
      <c r="BB30" s="261"/>
      <c r="BC30" s="261"/>
      <c r="BD30" s="261"/>
      <c r="BE30" s="261"/>
      <c r="BF30" s="261"/>
      <c r="BG30" s="261"/>
      <c r="BH30" s="261"/>
      <c r="BI30" s="261"/>
      <c r="BJ30" s="261"/>
      <c r="BK30" s="261"/>
      <c r="BL30" s="261"/>
      <c r="BM30" s="261"/>
      <c r="BN30" s="261"/>
      <c r="BO30" s="261"/>
      <c r="BP30" s="261"/>
      <c r="BQ30" s="261"/>
      <c r="BR30" s="261"/>
      <c r="BS30" s="261"/>
      <c r="BT30" s="261"/>
      <c r="BU30" s="261"/>
      <c r="BV30" s="261"/>
      <c r="BW30" s="261"/>
      <c r="BX30" s="261"/>
      <c r="BY30" s="261"/>
      <c r="BZ30" s="261"/>
      <c r="CA30" s="261"/>
      <c r="CB30" s="261"/>
      <c r="CC30" s="261"/>
      <c r="CD30" s="261"/>
      <c r="CE30" s="261"/>
      <c r="CF30" s="261"/>
      <c r="CG30" s="261"/>
      <c r="CH30" s="261"/>
      <c r="CI30" s="261"/>
      <c r="CJ30" s="261"/>
      <c r="CK30" s="261"/>
      <c r="CL30" s="261"/>
      <c r="CM30" s="261"/>
      <c r="CN30" s="261"/>
      <c r="CO30" s="261"/>
      <c r="CP30" s="261"/>
      <c r="CQ30" s="261"/>
      <c r="CR30" s="261"/>
      <c r="CS30" s="261"/>
      <c r="CT30" s="261"/>
      <c r="CU30" s="261"/>
      <c r="CV30" s="261"/>
      <c r="CW30" s="261"/>
      <c r="CX30" s="261"/>
      <c r="CY30" s="261"/>
      <c r="CZ30" s="261"/>
      <c r="DA30" s="261"/>
      <c r="DB30" s="261"/>
      <c r="DC30" s="261"/>
      <c r="DD30" s="261"/>
      <c r="DE30" s="261"/>
      <c r="DF30" s="261"/>
      <c r="DG30" s="261"/>
      <c r="DH30" s="261"/>
      <c r="DI30" s="261"/>
      <c r="DJ30" s="261"/>
      <c r="DK30" s="261"/>
      <c r="DL30" s="261"/>
      <c r="DM30" s="261"/>
      <c r="DN30" s="261"/>
      <c r="DO30" s="261"/>
      <c r="DP30" s="261"/>
      <c r="DQ30" s="261"/>
      <c r="DR30" s="261"/>
      <c r="DS30" s="261"/>
      <c r="DT30" s="261"/>
      <c r="DU30" s="261"/>
      <c r="DV30" s="261"/>
      <c r="DW30" s="261"/>
      <c r="DX30" s="261"/>
      <c r="DY30" s="261"/>
      <c r="DZ30" s="261"/>
      <c r="EA30" s="261"/>
      <c r="EB30" s="261"/>
      <c r="EC30" s="261"/>
      <c r="ED30" s="261"/>
      <c r="EE30" s="261"/>
      <c r="EF30" s="261"/>
      <c r="EG30" s="261"/>
      <c r="EH30" s="261"/>
      <c r="EI30" s="261"/>
      <c r="EJ30" s="261"/>
      <c r="EK30" s="261"/>
      <c r="EL30" s="261"/>
      <c r="EM30" s="261"/>
      <c r="EN30" s="261"/>
      <c r="EO30" s="261"/>
      <c r="EP30" s="261"/>
      <c r="EQ30" s="261"/>
      <c r="ER30" s="261"/>
      <c r="ES30" s="261"/>
      <c r="ET30" s="261"/>
      <c r="EU30" s="261"/>
      <c r="EV30" s="261"/>
      <c r="EW30" s="261"/>
      <c r="EX30" s="261"/>
      <c r="EY30" s="261"/>
      <c r="EZ30" s="261"/>
      <c r="FA30" s="261"/>
      <c r="FB30" s="261"/>
      <c r="FC30" s="261"/>
      <c r="FD30" s="261"/>
      <c r="FE30" s="261"/>
      <c r="FF30" s="261"/>
      <c r="FG30" s="261"/>
      <c r="FH30" s="261"/>
      <c r="FI30" s="261"/>
      <c r="FJ30" s="261"/>
      <c r="FK30" s="261"/>
      <c r="FL30" s="261"/>
      <c r="FM30" s="261"/>
      <c r="FN30" s="261"/>
      <c r="FO30" s="261"/>
      <c r="FP30" s="261"/>
      <c r="FQ30" s="261"/>
      <c r="FR30" s="261"/>
      <c r="FS30" s="261"/>
      <c r="FT30" s="261"/>
      <c r="FU30" s="261"/>
      <c r="FV30" s="261"/>
      <c r="FW30" s="261"/>
      <c r="FX30" s="261"/>
      <c r="FY30" s="261"/>
      <c r="FZ30" s="261"/>
      <c r="GA30" s="261"/>
      <c r="GB30" s="261"/>
      <c r="GC30" s="261"/>
      <c r="GD30" s="261"/>
      <c r="GE30" s="261"/>
      <c r="GF30" s="261"/>
      <c r="GG30" s="261"/>
      <c r="GH30" s="261"/>
      <c r="GI30" s="261"/>
      <c r="GJ30" s="261"/>
      <c r="GK30" s="261"/>
      <c r="GL30" s="261"/>
      <c r="GM30" s="261"/>
      <c r="GN30" s="261"/>
      <c r="GO30" s="261"/>
      <c r="GP30" s="261"/>
      <c r="GQ30" s="261"/>
      <c r="GR30" s="261"/>
      <c r="GS30" s="261"/>
      <c r="GT30" s="261"/>
      <c r="GU30" s="261"/>
      <c r="GV30" s="261"/>
      <c r="GW30" s="261"/>
      <c r="GX30" s="261"/>
      <c r="GY30" s="261"/>
      <c r="GZ30" s="261"/>
      <c r="HA30" s="261"/>
      <c r="HB30" s="261"/>
      <c r="HC30" s="261"/>
      <c r="HD30" s="261"/>
      <c r="HE30" s="261"/>
      <c r="HF30" s="261"/>
      <c r="HG30" s="261"/>
      <c r="HH30" s="261"/>
      <c r="HI30" s="261"/>
      <c r="HJ30" s="261"/>
      <c r="HK30" s="261"/>
      <c r="HL30" s="261"/>
      <c r="HM30" s="261"/>
      <c r="HN30" s="261"/>
      <c r="HO30" s="261"/>
      <c r="HP30" s="261"/>
      <c r="HQ30" s="261"/>
      <c r="HR30" s="261"/>
      <c r="HS30" s="261"/>
      <c r="HT30" s="261"/>
      <c r="HU30" s="261"/>
      <c r="HV30" s="261"/>
      <c r="HW30" s="261"/>
      <c r="HX30" s="261"/>
      <c r="HY30" s="261"/>
      <c r="HZ30" s="261"/>
      <c r="IA30" s="261"/>
      <c r="IB30" s="261"/>
    </row>
    <row r="31" spans="1:236" s="264" customFormat="1" ht="15.75" customHeight="1">
      <c r="A31" s="341"/>
      <c r="B31" s="342" t="s">
        <v>1</v>
      </c>
      <c r="C31" s="342"/>
      <c r="D31" s="341" t="s">
        <v>528</v>
      </c>
      <c r="E31" s="326">
        <v>18000</v>
      </c>
      <c r="F31" s="326"/>
      <c r="G31" s="326">
        <v>23000</v>
      </c>
      <c r="H31" s="326">
        <v>22000</v>
      </c>
      <c r="I31" s="326">
        <v>25000</v>
      </c>
      <c r="J31" s="326">
        <v>20000</v>
      </c>
      <c r="K31" s="326">
        <v>25000</v>
      </c>
      <c r="L31" s="326">
        <v>25000</v>
      </c>
      <c r="M31" s="326"/>
      <c r="N31" s="326">
        <v>26000</v>
      </c>
      <c r="O31" s="326">
        <v>25000</v>
      </c>
      <c r="P31" s="263"/>
      <c r="Q31" s="261"/>
      <c r="R31" s="261"/>
      <c r="S31" s="261"/>
      <c r="T31" s="261"/>
      <c r="U31" s="261"/>
      <c r="V31" s="261"/>
      <c r="W31" s="261"/>
      <c r="X31" s="261"/>
      <c r="Y31" s="261"/>
      <c r="Z31" s="261"/>
      <c r="AA31" s="261"/>
      <c r="AB31" s="261"/>
      <c r="AC31" s="261"/>
      <c r="AD31" s="261"/>
      <c r="AE31" s="261"/>
      <c r="AF31" s="261"/>
      <c r="AG31" s="261"/>
      <c r="AH31" s="261"/>
      <c r="AI31" s="261"/>
      <c r="AJ31" s="261"/>
      <c r="AK31" s="261"/>
      <c r="AL31" s="261"/>
      <c r="AM31" s="261"/>
      <c r="AN31" s="261"/>
      <c r="AO31" s="261"/>
      <c r="AP31" s="261"/>
      <c r="AQ31" s="261"/>
      <c r="AR31" s="261"/>
      <c r="AS31" s="261"/>
      <c r="AT31" s="261"/>
      <c r="AU31" s="261"/>
      <c r="AV31" s="261"/>
      <c r="AW31" s="261"/>
      <c r="AX31" s="261"/>
      <c r="AY31" s="261"/>
      <c r="AZ31" s="261"/>
      <c r="BA31" s="261"/>
      <c r="BB31" s="261"/>
      <c r="BC31" s="261"/>
      <c r="BD31" s="261"/>
      <c r="BE31" s="261"/>
      <c r="BF31" s="261"/>
      <c r="BG31" s="261"/>
      <c r="BH31" s="261"/>
      <c r="BI31" s="261"/>
      <c r="BJ31" s="261"/>
      <c r="BK31" s="261"/>
      <c r="BL31" s="261"/>
      <c r="BM31" s="261"/>
      <c r="BN31" s="261"/>
      <c r="BO31" s="261"/>
      <c r="BP31" s="261"/>
      <c r="BQ31" s="261"/>
      <c r="BR31" s="261"/>
      <c r="BS31" s="261"/>
      <c r="BT31" s="261"/>
      <c r="BU31" s="261"/>
      <c r="BV31" s="261"/>
      <c r="BW31" s="261"/>
      <c r="BX31" s="261"/>
      <c r="BY31" s="261"/>
      <c r="BZ31" s="261"/>
      <c r="CA31" s="261"/>
      <c r="CB31" s="261"/>
      <c r="CC31" s="261"/>
      <c r="CD31" s="261"/>
      <c r="CE31" s="261"/>
      <c r="CF31" s="261"/>
      <c r="CG31" s="261"/>
      <c r="CH31" s="261"/>
      <c r="CI31" s="261"/>
      <c r="CJ31" s="261"/>
      <c r="CK31" s="261"/>
      <c r="CL31" s="261"/>
      <c r="CM31" s="261"/>
      <c r="CN31" s="261"/>
      <c r="CO31" s="261"/>
      <c r="CP31" s="261"/>
      <c r="CQ31" s="261"/>
      <c r="CR31" s="261"/>
      <c r="CS31" s="261"/>
      <c r="CT31" s="261"/>
      <c r="CU31" s="261"/>
      <c r="CV31" s="261"/>
      <c r="CW31" s="261"/>
      <c r="CX31" s="261"/>
      <c r="CY31" s="261"/>
      <c r="CZ31" s="261"/>
      <c r="DA31" s="261"/>
      <c r="DB31" s="261"/>
      <c r="DC31" s="261"/>
      <c r="DD31" s="261"/>
      <c r="DE31" s="261"/>
      <c r="DF31" s="261"/>
      <c r="DG31" s="261"/>
      <c r="DH31" s="261"/>
      <c r="DI31" s="261"/>
      <c r="DJ31" s="261"/>
      <c r="DK31" s="261"/>
      <c r="DL31" s="261"/>
      <c r="DM31" s="261"/>
      <c r="DN31" s="261"/>
      <c r="DO31" s="261"/>
      <c r="DP31" s="261"/>
      <c r="DQ31" s="261"/>
      <c r="DR31" s="261"/>
      <c r="DS31" s="261"/>
      <c r="DT31" s="261"/>
      <c r="DU31" s="261"/>
      <c r="DV31" s="261"/>
      <c r="DW31" s="261"/>
      <c r="DX31" s="261"/>
      <c r="DY31" s="261"/>
      <c r="DZ31" s="261"/>
      <c r="EA31" s="261"/>
      <c r="EB31" s="261"/>
      <c r="EC31" s="261"/>
      <c r="ED31" s="261"/>
      <c r="EE31" s="261"/>
      <c r="EF31" s="261"/>
      <c r="EG31" s="261"/>
      <c r="EH31" s="261"/>
      <c r="EI31" s="261"/>
      <c r="EJ31" s="261"/>
      <c r="EK31" s="261"/>
      <c r="EL31" s="261"/>
      <c r="EM31" s="261"/>
      <c r="EN31" s="261"/>
      <c r="EO31" s="261"/>
      <c r="EP31" s="261"/>
      <c r="EQ31" s="261"/>
      <c r="ER31" s="261"/>
      <c r="ES31" s="261"/>
      <c r="ET31" s="261"/>
      <c r="EU31" s="261"/>
      <c r="EV31" s="261"/>
      <c r="EW31" s="261"/>
      <c r="EX31" s="261"/>
      <c r="EY31" s="261"/>
      <c r="EZ31" s="261"/>
      <c r="FA31" s="261"/>
      <c r="FB31" s="261"/>
      <c r="FC31" s="261"/>
      <c r="FD31" s="261"/>
      <c r="FE31" s="261"/>
      <c r="FF31" s="261"/>
      <c r="FG31" s="261"/>
      <c r="FH31" s="261"/>
      <c r="FI31" s="261"/>
      <c r="FJ31" s="261"/>
      <c r="FK31" s="261"/>
      <c r="FL31" s="261"/>
      <c r="FM31" s="261"/>
      <c r="FN31" s="261"/>
      <c r="FO31" s="261"/>
      <c r="FP31" s="261"/>
      <c r="FQ31" s="261"/>
      <c r="FR31" s="261"/>
      <c r="FS31" s="261"/>
      <c r="FT31" s="261"/>
      <c r="FU31" s="261"/>
      <c r="FV31" s="261"/>
      <c r="FW31" s="261"/>
      <c r="FX31" s="261"/>
      <c r="FY31" s="261"/>
      <c r="FZ31" s="261"/>
      <c r="GA31" s="261"/>
      <c r="GB31" s="261"/>
      <c r="GC31" s="261"/>
      <c r="GD31" s="261"/>
      <c r="GE31" s="261"/>
      <c r="GF31" s="261"/>
      <c r="GG31" s="261"/>
      <c r="GH31" s="261"/>
      <c r="GI31" s="261"/>
      <c r="GJ31" s="261"/>
      <c r="GK31" s="261"/>
      <c r="GL31" s="261"/>
      <c r="GM31" s="261"/>
      <c r="GN31" s="261"/>
      <c r="GO31" s="261"/>
      <c r="GP31" s="261"/>
      <c r="GQ31" s="261"/>
      <c r="GR31" s="261"/>
      <c r="GS31" s="261"/>
      <c r="GT31" s="261"/>
      <c r="GU31" s="261"/>
      <c r="GV31" s="261"/>
      <c r="GW31" s="261"/>
      <c r="GX31" s="261"/>
      <c r="GY31" s="261"/>
      <c r="GZ31" s="261"/>
      <c r="HA31" s="261"/>
      <c r="HB31" s="261"/>
      <c r="HC31" s="261"/>
      <c r="HD31" s="261"/>
      <c r="HE31" s="261"/>
      <c r="HF31" s="261"/>
      <c r="HG31" s="261"/>
      <c r="HH31" s="261"/>
      <c r="HI31" s="261"/>
      <c r="HJ31" s="261"/>
      <c r="HK31" s="261"/>
      <c r="HL31" s="261"/>
      <c r="HM31" s="261"/>
      <c r="HN31" s="261"/>
      <c r="HO31" s="261"/>
      <c r="HP31" s="261"/>
      <c r="HQ31" s="261"/>
      <c r="HR31" s="261"/>
      <c r="HS31" s="261"/>
      <c r="HT31" s="261"/>
      <c r="HU31" s="261"/>
      <c r="HV31" s="261"/>
      <c r="HW31" s="261"/>
      <c r="HX31" s="261"/>
      <c r="HY31" s="261"/>
      <c r="HZ31" s="261"/>
      <c r="IA31" s="261"/>
      <c r="IB31" s="261"/>
    </row>
    <row r="32" spans="1:236" s="264" customFormat="1" ht="15.75" customHeight="1">
      <c r="A32" s="339"/>
      <c r="B32" s="342" t="s">
        <v>590</v>
      </c>
      <c r="C32" s="342"/>
      <c r="D32" s="341" t="s">
        <v>484</v>
      </c>
      <c r="E32" s="326">
        <v>2500000</v>
      </c>
      <c r="F32" s="326"/>
      <c r="G32" s="340">
        <v>3050000</v>
      </c>
      <c r="H32" s="340">
        <v>2900000</v>
      </c>
      <c r="I32" s="340">
        <v>3000000</v>
      </c>
      <c r="J32" s="340">
        <v>3000000</v>
      </c>
      <c r="K32" s="326">
        <v>2800000</v>
      </c>
      <c r="L32" s="326">
        <v>3200000</v>
      </c>
      <c r="M32" s="326"/>
      <c r="N32" s="326">
        <v>3000000</v>
      </c>
      <c r="O32" s="326">
        <v>3000000</v>
      </c>
      <c r="P32" s="263"/>
      <c r="Q32" s="261"/>
      <c r="R32" s="261"/>
      <c r="S32" s="261"/>
      <c r="T32" s="261"/>
      <c r="U32" s="261"/>
      <c r="V32" s="261"/>
      <c r="W32" s="261"/>
      <c r="X32" s="261"/>
      <c r="Y32" s="261"/>
      <c r="Z32" s="261"/>
      <c r="AA32" s="261"/>
      <c r="AB32" s="261"/>
      <c r="AC32" s="261"/>
      <c r="AD32" s="261"/>
      <c r="AE32" s="261"/>
      <c r="AF32" s="261"/>
      <c r="AG32" s="261"/>
      <c r="AH32" s="261"/>
      <c r="AI32" s="261"/>
      <c r="AJ32" s="261"/>
      <c r="AK32" s="261"/>
      <c r="AL32" s="261"/>
      <c r="AM32" s="261"/>
      <c r="AN32" s="261"/>
      <c r="AO32" s="261"/>
      <c r="AP32" s="261"/>
      <c r="AQ32" s="261"/>
      <c r="AR32" s="261"/>
      <c r="AS32" s="261"/>
      <c r="AT32" s="261"/>
      <c r="AU32" s="261"/>
      <c r="AV32" s="261"/>
      <c r="AW32" s="261"/>
      <c r="AX32" s="261"/>
      <c r="AY32" s="261"/>
      <c r="AZ32" s="261"/>
      <c r="BA32" s="261"/>
      <c r="BB32" s="261"/>
      <c r="BC32" s="261"/>
      <c r="BD32" s="261"/>
      <c r="BE32" s="261"/>
      <c r="BF32" s="261"/>
      <c r="BG32" s="261"/>
      <c r="BH32" s="261"/>
      <c r="BI32" s="261"/>
      <c r="BJ32" s="261"/>
      <c r="BK32" s="261"/>
      <c r="BL32" s="261"/>
      <c r="BM32" s="261"/>
      <c r="BN32" s="261"/>
      <c r="BO32" s="261"/>
      <c r="BP32" s="261"/>
      <c r="BQ32" s="261"/>
      <c r="BR32" s="261"/>
      <c r="BS32" s="261"/>
      <c r="BT32" s="261"/>
      <c r="BU32" s="261"/>
      <c r="BV32" s="261"/>
      <c r="BW32" s="261"/>
      <c r="BX32" s="261"/>
      <c r="BY32" s="261"/>
      <c r="BZ32" s="261"/>
      <c r="CA32" s="261"/>
      <c r="CB32" s="261"/>
      <c r="CC32" s="261"/>
      <c r="CD32" s="261"/>
      <c r="CE32" s="261"/>
      <c r="CF32" s="261"/>
      <c r="CG32" s="261"/>
      <c r="CH32" s="261"/>
      <c r="CI32" s="261"/>
      <c r="CJ32" s="261"/>
      <c r="CK32" s="261"/>
      <c r="CL32" s="261"/>
      <c r="CM32" s="261"/>
      <c r="CN32" s="261"/>
      <c r="CO32" s="261"/>
      <c r="CP32" s="261"/>
      <c r="CQ32" s="261"/>
      <c r="CR32" s="261"/>
      <c r="CS32" s="261"/>
      <c r="CT32" s="261"/>
      <c r="CU32" s="261"/>
      <c r="CV32" s="261"/>
      <c r="CW32" s="261"/>
      <c r="CX32" s="261"/>
      <c r="CY32" s="261"/>
      <c r="CZ32" s="261"/>
      <c r="DA32" s="261"/>
      <c r="DB32" s="261"/>
      <c r="DC32" s="261"/>
      <c r="DD32" s="261"/>
      <c r="DE32" s="261"/>
      <c r="DF32" s="261"/>
      <c r="DG32" s="261"/>
      <c r="DH32" s="261"/>
      <c r="DI32" s="261"/>
      <c r="DJ32" s="261"/>
      <c r="DK32" s="261"/>
      <c r="DL32" s="261"/>
      <c r="DM32" s="261"/>
      <c r="DN32" s="261"/>
      <c r="DO32" s="261"/>
      <c r="DP32" s="261"/>
      <c r="DQ32" s="261"/>
      <c r="DR32" s="261"/>
      <c r="DS32" s="261"/>
      <c r="DT32" s="261"/>
      <c r="DU32" s="261"/>
      <c r="DV32" s="261"/>
      <c r="DW32" s="261"/>
      <c r="DX32" s="261"/>
      <c r="DY32" s="261"/>
      <c r="DZ32" s="261"/>
      <c r="EA32" s="261"/>
      <c r="EB32" s="261"/>
      <c r="EC32" s="261"/>
      <c r="ED32" s="261"/>
      <c r="EE32" s="261"/>
      <c r="EF32" s="261"/>
      <c r="EG32" s="261"/>
      <c r="EH32" s="261"/>
      <c r="EI32" s="261"/>
      <c r="EJ32" s="261"/>
      <c r="EK32" s="261"/>
      <c r="EL32" s="261"/>
      <c r="EM32" s="261"/>
      <c r="EN32" s="261"/>
      <c r="EO32" s="261"/>
      <c r="EP32" s="261"/>
      <c r="EQ32" s="261"/>
      <c r="ER32" s="261"/>
      <c r="ES32" s="261"/>
      <c r="ET32" s="261"/>
      <c r="EU32" s="261"/>
      <c r="EV32" s="261"/>
      <c r="EW32" s="261"/>
      <c r="EX32" s="261"/>
      <c r="EY32" s="261"/>
      <c r="EZ32" s="261"/>
      <c r="FA32" s="261"/>
      <c r="FB32" s="261"/>
      <c r="FC32" s="261"/>
      <c r="FD32" s="261"/>
      <c r="FE32" s="261"/>
      <c r="FF32" s="261"/>
      <c r="FG32" s="261"/>
      <c r="FH32" s="261"/>
      <c r="FI32" s="261"/>
      <c r="FJ32" s="261"/>
      <c r="FK32" s="261"/>
      <c r="FL32" s="261"/>
      <c r="FM32" s="261"/>
      <c r="FN32" s="261"/>
      <c r="FO32" s="261"/>
      <c r="FP32" s="261"/>
      <c r="FQ32" s="261"/>
      <c r="FR32" s="261"/>
      <c r="FS32" s="261"/>
      <c r="FT32" s="261"/>
      <c r="FU32" s="261"/>
      <c r="FV32" s="261"/>
      <c r="FW32" s="261"/>
      <c r="FX32" s="261"/>
      <c r="FY32" s="261"/>
      <c r="FZ32" s="261"/>
      <c r="GA32" s="261"/>
      <c r="GB32" s="261"/>
      <c r="GC32" s="261"/>
      <c r="GD32" s="261"/>
      <c r="GE32" s="261"/>
      <c r="GF32" s="261"/>
      <c r="GG32" s="261"/>
      <c r="GH32" s="261"/>
      <c r="GI32" s="261"/>
      <c r="GJ32" s="261"/>
      <c r="GK32" s="261"/>
      <c r="GL32" s="261"/>
      <c r="GM32" s="261"/>
      <c r="GN32" s="261"/>
      <c r="GO32" s="261"/>
      <c r="GP32" s="261"/>
      <c r="GQ32" s="261"/>
      <c r="GR32" s="261"/>
      <c r="GS32" s="261"/>
      <c r="GT32" s="261"/>
      <c r="GU32" s="261"/>
      <c r="GV32" s="261"/>
      <c r="GW32" s="261"/>
      <c r="GX32" s="261"/>
      <c r="GY32" s="261"/>
      <c r="GZ32" s="261"/>
      <c r="HA32" s="261"/>
      <c r="HB32" s="261"/>
      <c r="HC32" s="261"/>
      <c r="HD32" s="261"/>
      <c r="HE32" s="261"/>
      <c r="HF32" s="261"/>
      <c r="HG32" s="261"/>
      <c r="HH32" s="261"/>
      <c r="HI32" s="261"/>
      <c r="HJ32" s="261"/>
      <c r="HK32" s="261"/>
      <c r="HL32" s="261"/>
      <c r="HM32" s="261"/>
      <c r="HN32" s="261"/>
      <c r="HO32" s="261"/>
      <c r="HP32" s="261"/>
      <c r="HQ32" s="261"/>
      <c r="HR32" s="261"/>
      <c r="HS32" s="261"/>
      <c r="HT32" s="261"/>
      <c r="HU32" s="261"/>
      <c r="HV32" s="261"/>
      <c r="HW32" s="261"/>
      <c r="HX32" s="261"/>
      <c r="HY32" s="261"/>
      <c r="HZ32" s="261"/>
      <c r="IA32" s="261"/>
      <c r="IB32" s="261"/>
    </row>
    <row r="33" spans="1:236" s="264" customFormat="1" ht="15.75" customHeight="1">
      <c r="A33" s="323">
        <v>5</v>
      </c>
      <c r="B33" s="324" t="s">
        <v>2770</v>
      </c>
      <c r="C33" s="331"/>
      <c r="D33" s="325"/>
      <c r="E33" s="330"/>
      <c r="F33" s="330"/>
      <c r="G33" s="343"/>
      <c r="H33" s="343"/>
      <c r="I33" s="330"/>
      <c r="J33" s="330"/>
      <c r="K33" s="330"/>
      <c r="L33" s="330"/>
      <c r="M33" s="330"/>
      <c r="N33" s="330"/>
      <c r="O33" s="330"/>
      <c r="P33" s="263"/>
      <c r="Q33" s="261"/>
      <c r="R33" s="261"/>
      <c r="S33" s="261"/>
      <c r="T33" s="261"/>
      <c r="U33" s="261"/>
      <c r="V33" s="261"/>
      <c r="W33" s="261"/>
      <c r="X33" s="261"/>
      <c r="Y33" s="261"/>
      <c r="Z33" s="261"/>
      <c r="AA33" s="261"/>
      <c r="AB33" s="261"/>
      <c r="AC33" s="261"/>
      <c r="AD33" s="261"/>
      <c r="AE33" s="261"/>
      <c r="AF33" s="261"/>
      <c r="AG33" s="261"/>
      <c r="AH33" s="261"/>
      <c r="AI33" s="261"/>
      <c r="AJ33" s="261"/>
      <c r="AK33" s="261"/>
      <c r="AL33" s="261"/>
      <c r="AM33" s="261"/>
      <c r="AN33" s="261"/>
      <c r="AO33" s="261"/>
      <c r="AP33" s="261"/>
      <c r="AQ33" s="261"/>
      <c r="AR33" s="261"/>
      <c r="AS33" s="261"/>
      <c r="AT33" s="261"/>
      <c r="AU33" s="261"/>
      <c r="AV33" s="261"/>
      <c r="AW33" s="261"/>
      <c r="AX33" s="261"/>
      <c r="AY33" s="261"/>
      <c r="AZ33" s="261"/>
      <c r="BA33" s="261"/>
      <c r="BB33" s="261"/>
      <c r="BC33" s="261"/>
      <c r="BD33" s="261"/>
      <c r="BE33" s="261"/>
      <c r="BF33" s="261"/>
      <c r="BG33" s="261"/>
      <c r="BH33" s="261"/>
      <c r="BI33" s="261"/>
      <c r="BJ33" s="261"/>
      <c r="BK33" s="261"/>
      <c r="BL33" s="261"/>
      <c r="BM33" s="261"/>
      <c r="BN33" s="261"/>
      <c r="BO33" s="261"/>
      <c r="BP33" s="261"/>
      <c r="BQ33" s="261"/>
      <c r="BR33" s="261"/>
      <c r="BS33" s="261"/>
      <c r="BT33" s="261"/>
      <c r="BU33" s="261"/>
      <c r="BV33" s="261"/>
      <c r="BW33" s="261"/>
      <c r="BX33" s="261"/>
      <c r="BY33" s="261"/>
      <c r="BZ33" s="261"/>
      <c r="CA33" s="261"/>
      <c r="CB33" s="261"/>
      <c r="CC33" s="261"/>
      <c r="CD33" s="261"/>
      <c r="CE33" s="261"/>
      <c r="CF33" s="261"/>
      <c r="CG33" s="261"/>
      <c r="CH33" s="261"/>
      <c r="CI33" s="261"/>
      <c r="CJ33" s="261"/>
      <c r="CK33" s="261"/>
      <c r="CL33" s="261"/>
      <c r="CM33" s="261"/>
      <c r="CN33" s="261"/>
      <c r="CO33" s="261"/>
      <c r="CP33" s="261"/>
      <c r="CQ33" s="261"/>
      <c r="CR33" s="261"/>
      <c r="CS33" s="261"/>
      <c r="CT33" s="261"/>
      <c r="CU33" s="261"/>
      <c r="CV33" s="261"/>
      <c r="CW33" s="261"/>
      <c r="CX33" s="261"/>
      <c r="CY33" s="261"/>
      <c r="CZ33" s="261"/>
      <c r="DA33" s="261"/>
      <c r="DB33" s="261"/>
      <c r="DC33" s="261"/>
      <c r="DD33" s="261"/>
      <c r="DE33" s="261"/>
      <c r="DF33" s="261"/>
      <c r="DG33" s="261"/>
      <c r="DH33" s="261"/>
      <c r="DI33" s="261"/>
      <c r="DJ33" s="261"/>
      <c r="DK33" s="261"/>
      <c r="DL33" s="261"/>
      <c r="DM33" s="261"/>
      <c r="DN33" s="261"/>
      <c r="DO33" s="261"/>
      <c r="DP33" s="261"/>
      <c r="DQ33" s="261"/>
      <c r="DR33" s="261"/>
      <c r="DS33" s="261"/>
      <c r="DT33" s="261"/>
      <c r="DU33" s="261"/>
      <c r="DV33" s="261"/>
      <c r="DW33" s="261"/>
      <c r="DX33" s="261"/>
      <c r="DY33" s="261"/>
      <c r="DZ33" s="261"/>
      <c r="EA33" s="261"/>
      <c r="EB33" s="261"/>
      <c r="EC33" s="261"/>
      <c r="ED33" s="261"/>
      <c r="EE33" s="261"/>
      <c r="EF33" s="261"/>
      <c r="EG33" s="261"/>
      <c r="EH33" s="261"/>
      <c r="EI33" s="261"/>
      <c r="EJ33" s="261"/>
      <c r="EK33" s="261"/>
      <c r="EL33" s="261"/>
      <c r="EM33" s="261"/>
      <c r="EN33" s="261"/>
      <c r="EO33" s="261"/>
      <c r="EP33" s="261"/>
      <c r="EQ33" s="261"/>
      <c r="ER33" s="261"/>
      <c r="ES33" s="261"/>
      <c r="ET33" s="261"/>
      <c r="EU33" s="261"/>
      <c r="EV33" s="261"/>
      <c r="EW33" s="261"/>
      <c r="EX33" s="261"/>
      <c r="EY33" s="261"/>
      <c r="EZ33" s="261"/>
      <c r="FA33" s="261"/>
      <c r="FB33" s="261"/>
      <c r="FC33" s="261"/>
      <c r="FD33" s="261"/>
      <c r="FE33" s="261"/>
      <c r="FF33" s="261"/>
      <c r="FG33" s="261"/>
      <c r="FH33" s="261"/>
      <c r="FI33" s="261"/>
      <c r="FJ33" s="261"/>
      <c r="FK33" s="261"/>
      <c r="FL33" s="261"/>
      <c r="FM33" s="261"/>
      <c r="FN33" s="261"/>
      <c r="FO33" s="261"/>
      <c r="FP33" s="261"/>
      <c r="FQ33" s="261"/>
      <c r="FR33" s="261"/>
      <c r="FS33" s="261"/>
      <c r="FT33" s="261"/>
      <c r="FU33" s="261"/>
      <c r="FV33" s="261"/>
      <c r="FW33" s="261"/>
      <c r="FX33" s="261"/>
      <c r="FY33" s="261"/>
      <c r="FZ33" s="261"/>
      <c r="GA33" s="261"/>
      <c r="GB33" s="261"/>
      <c r="GC33" s="261"/>
      <c r="GD33" s="261"/>
      <c r="GE33" s="261"/>
      <c r="GF33" s="261"/>
      <c r="GG33" s="261"/>
      <c r="GH33" s="261"/>
      <c r="GI33" s="261"/>
      <c r="GJ33" s="261"/>
      <c r="GK33" s="261"/>
      <c r="GL33" s="261"/>
      <c r="GM33" s="261"/>
      <c r="GN33" s="261"/>
      <c r="GO33" s="261"/>
      <c r="GP33" s="261"/>
      <c r="GQ33" s="261"/>
      <c r="GR33" s="261"/>
      <c r="GS33" s="261"/>
      <c r="GT33" s="261"/>
      <c r="GU33" s="261"/>
      <c r="GV33" s="261"/>
      <c r="GW33" s="261"/>
      <c r="GX33" s="261"/>
      <c r="GY33" s="261"/>
      <c r="GZ33" s="261"/>
      <c r="HA33" s="261"/>
      <c r="HB33" s="261"/>
      <c r="HC33" s="261"/>
      <c r="HD33" s="261"/>
      <c r="HE33" s="261"/>
      <c r="HF33" s="261"/>
      <c r="HG33" s="261"/>
      <c r="HH33" s="261"/>
      <c r="HI33" s="261"/>
      <c r="HJ33" s="261"/>
      <c r="HK33" s="261"/>
      <c r="HL33" s="261"/>
      <c r="HM33" s="261"/>
      <c r="HN33" s="261"/>
      <c r="HO33" s="261"/>
      <c r="HP33" s="261"/>
      <c r="HQ33" s="261"/>
      <c r="HR33" s="261"/>
      <c r="HS33" s="261"/>
      <c r="HT33" s="261"/>
      <c r="HU33" s="261"/>
      <c r="HV33" s="261"/>
      <c r="HW33" s="261"/>
      <c r="HX33" s="261"/>
      <c r="HY33" s="261"/>
      <c r="HZ33" s="261"/>
      <c r="IA33" s="261"/>
      <c r="IB33" s="261"/>
    </row>
    <row r="34" spans="1:236" s="264" customFormat="1" ht="15.75" customHeight="1">
      <c r="A34" s="341" t="s">
        <v>380</v>
      </c>
      <c r="B34" s="344" t="s">
        <v>2771</v>
      </c>
      <c r="C34" s="331"/>
      <c r="D34" s="325"/>
      <c r="E34" s="330"/>
      <c r="F34" s="330"/>
      <c r="G34" s="343"/>
      <c r="H34" s="343"/>
      <c r="I34" s="330"/>
      <c r="J34" s="330"/>
      <c r="K34" s="330"/>
      <c r="L34" s="330"/>
      <c r="M34" s="330"/>
      <c r="N34" s="330"/>
      <c r="O34" s="330"/>
      <c r="P34" s="263"/>
      <c r="Q34" s="261"/>
      <c r="R34" s="261"/>
      <c r="S34" s="261"/>
      <c r="T34" s="261"/>
      <c r="U34" s="261"/>
      <c r="V34" s="261"/>
      <c r="W34" s="261"/>
      <c r="X34" s="261"/>
      <c r="Y34" s="261"/>
      <c r="Z34" s="261"/>
      <c r="AA34" s="261"/>
      <c r="AB34" s="261"/>
      <c r="AC34" s="261"/>
      <c r="AD34" s="261"/>
      <c r="AE34" s="261"/>
      <c r="AF34" s="261"/>
      <c r="AG34" s="261"/>
      <c r="AH34" s="261"/>
      <c r="AI34" s="261"/>
      <c r="AJ34" s="261"/>
      <c r="AK34" s="261"/>
      <c r="AL34" s="261"/>
      <c r="AM34" s="261"/>
      <c r="AN34" s="261"/>
      <c r="AO34" s="261"/>
      <c r="AP34" s="261"/>
      <c r="AQ34" s="261"/>
      <c r="AR34" s="261"/>
      <c r="AS34" s="261"/>
      <c r="AT34" s="261"/>
      <c r="AU34" s="261"/>
      <c r="AV34" s="261"/>
      <c r="AW34" s="261"/>
      <c r="AX34" s="261"/>
      <c r="AY34" s="261"/>
      <c r="AZ34" s="261"/>
      <c r="BA34" s="261"/>
      <c r="BB34" s="261"/>
      <c r="BC34" s="261"/>
      <c r="BD34" s="261"/>
      <c r="BE34" s="261"/>
      <c r="BF34" s="261"/>
      <c r="BG34" s="261"/>
      <c r="BH34" s="261"/>
      <c r="BI34" s="261"/>
      <c r="BJ34" s="261"/>
      <c r="BK34" s="261"/>
      <c r="BL34" s="261"/>
      <c r="BM34" s="261"/>
      <c r="BN34" s="261"/>
      <c r="BO34" s="261"/>
      <c r="BP34" s="261"/>
      <c r="BQ34" s="261"/>
      <c r="BR34" s="261"/>
      <c r="BS34" s="261"/>
      <c r="BT34" s="261"/>
      <c r="BU34" s="261"/>
      <c r="BV34" s="261"/>
      <c r="BW34" s="261"/>
      <c r="BX34" s="261"/>
      <c r="BY34" s="261"/>
      <c r="BZ34" s="261"/>
      <c r="CA34" s="261"/>
      <c r="CB34" s="261"/>
      <c r="CC34" s="261"/>
      <c r="CD34" s="261"/>
      <c r="CE34" s="261"/>
      <c r="CF34" s="261"/>
      <c r="CG34" s="261"/>
      <c r="CH34" s="261"/>
      <c r="CI34" s="261"/>
      <c r="CJ34" s="261"/>
      <c r="CK34" s="261"/>
      <c r="CL34" s="261"/>
      <c r="CM34" s="261"/>
      <c r="CN34" s="261"/>
      <c r="CO34" s="261"/>
      <c r="CP34" s="261"/>
      <c r="CQ34" s="261"/>
      <c r="CR34" s="261"/>
      <c r="CS34" s="261"/>
      <c r="CT34" s="261"/>
      <c r="CU34" s="261"/>
      <c r="CV34" s="261"/>
      <c r="CW34" s="261"/>
      <c r="CX34" s="261"/>
      <c r="CY34" s="261"/>
      <c r="CZ34" s="261"/>
      <c r="DA34" s="261"/>
      <c r="DB34" s="261"/>
      <c r="DC34" s="261"/>
      <c r="DD34" s="261"/>
      <c r="DE34" s="261"/>
      <c r="DF34" s="261"/>
      <c r="DG34" s="261"/>
      <c r="DH34" s="261"/>
      <c r="DI34" s="261"/>
      <c r="DJ34" s="261"/>
      <c r="DK34" s="261"/>
      <c r="DL34" s="261"/>
      <c r="DM34" s="261"/>
      <c r="DN34" s="261"/>
      <c r="DO34" s="261"/>
      <c r="DP34" s="261"/>
      <c r="DQ34" s="261"/>
      <c r="DR34" s="261"/>
      <c r="DS34" s="261"/>
      <c r="DT34" s="261"/>
      <c r="DU34" s="261"/>
      <c r="DV34" s="261"/>
      <c r="DW34" s="261"/>
      <c r="DX34" s="261"/>
      <c r="DY34" s="261"/>
      <c r="DZ34" s="261"/>
      <c r="EA34" s="261"/>
      <c r="EB34" s="261"/>
      <c r="EC34" s="261"/>
      <c r="ED34" s="261"/>
      <c r="EE34" s="261"/>
      <c r="EF34" s="261"/>
      <c r="EG34" s="261"/>
      <c r="EH34" s="261"/>
      <c r="EI34" s="261"/>
      <c r="EJ34" s="261"/>
      <c r="EK34" s="261"/>
      <c r="EL34" s="261"/>
      <c r="EM34" s="261"/>
      <c r="EN34" s="261"/>
      <c r="EO34" s="261"/>
      <c r="EP34" s="261"/>
      <c r="EQ34" s="261"/>
      <c r="ER34" s="261"/>
      <c r="ES34" s="261"/>
      <c r="ET34" s="261"/>
      <c r="EU34" s="261"/>
      <c r="EV34" s="261"/>
      <c r="EW34" s="261"/>
      <c r="EX34" s="261"/>
      <c r="EY34" s="261"/>
      <c r="EZ34" s="261"/>
      <c r="FA34" s="261"/>
      <c r="FB34" s="261"/>
      <c r="FC34" s="261"/>
      <c r="FD34" s="261"/>
      <c r="FE34" s="261"/>
      <c r="FF34" s="261"/>
      <c r="FG34" s="261"/>
      <c r="FH34" s="261"/>
      <c r="FI34" s="261"/>
      <c r="FJ34" s="261"/>
      <c r="FK34" s="261"/>
      <c r="FL34" s="261"/>
      <c r="FM34" s="261"/>
      <c r="FN34" s="261"/>
      <c r="FO34" s="261"/>
      <c r="FP34" s="261"/>
      <c r="FQ34" s="261"/>
      <c r="FR34" s="261"/>
      <c r="FS34" s="261"/>
      <c r="FT34" s="261"/>
      <c r="FU34" s="261"/>
      <c r="FV34" s="261"/>
      <c r="FW34" s="261"/>
      <c r="FX34" s="261"/>
      <c r="FY34" s="261"/>
      <c r="FZ34" s="261"/>
      <c r="GA34" s="261"/>
      <c r="GB34" s="261"/>
      <c r="GC34" s="261"/>
      <c r="GD34" s="261"/>
      <c r="GE34" s="261"/>
      <c r="GF34" s="261"/>
      <c r="GG34" s="261"/>
      <c r="GH34" s="261"/>
      <c r="GI34" s="261"/>
      <c r="GJ34" s="261"/>
      <c r="GK34" s="261"/>
      <c r="GL34" s="261"/>
      <c r="GM34" s="261"/>
      <c r="GN34" s="261"/>
      <c r="GO34" s="261"/>
      <c r="GP34" s="261"/>
      <c r="GQ34" s="261"/>
      <c r="GR34" s="261"/>
      <c r="GS34" s="261"/>
      <c r="GT34" s="261"/>
      <c r="GU34" s="261"/>
      <c r="GV34" s="261"/>
      <c r="GW34" s="261"/>
      <c r="GX34" s="261"/>
      <c r="GY34" s="261"/>
      <c r="GZ34" s="261"/>
      <c r="HA34" s="261"/>
      <c r="HB34" s="261"/>
      <c r="HC34" s="261"/>
      <c r="HD34" s="261"/>
      <c r="HE34" s="261"/>
      <c r="HF34" s="261"/>
      <c r="HG34" s="261"/>
      <c r="HH34" s="261"/>
      <c r="HI34" s="261"/>
      <c r="HJ34" s="261"/>
      <c r="HK34" s="261"/>
      <c r="HL34" s="261"/>
      <c r="HM34" s="261"/>
      <c r="HN34" s="261"/>
      <c r="HO34" s="261"/>
      <c r="HP34" s="261"/>
      <c r="HQ34" s="261"/>
      <c r="HR34" s="261"/>
      <c r="HS34" s="261"/>
      <c r="HT34" s="261"/>
      <c r="HU34" s="261"/>
      <c r="HV34" s="261"/>
      <c r="HW34" s="261"/>
      <c r="HX34" s="261"/>
      <c r="HY34" s="261"/>
      <c r="HZ34" s="261"/>
      <c r="IA34" s="261"/>
      <c r="IB34" s="261"/>
    </row>
    <row r="35" spans="1:236" s="264" customFormat="1" ht="15.75" customHeight="1">
      <c r="A35" s="339"/>
      <c r="B35" s="335" t="s">
        <v>2772</v>
      </c>
      <c r="C35" s="331" t="s">
        <v>2773</v>
      </c>
      <c r="D35" s="325" t="s">
        <v>595</v>
      </c>
      <c r="E35" s="330">
        <v>17300</v>
      </c>
      <c r="F35" s="330"/>
      <c r="G35" s="330">
        <v>16400</v>
      </c>
      <c r="H35" s="330">
        <v>16400</v>
      </c>
      <c r="I35" s="330"/>
      <c r="J35" s="330"/>
      <c r="K35" s="330"/>
      <c r="L35" s="330">
        <v>18500</v>
      </c>
      <c r="M35" s="330"/>
      <c r="N35" s="330">
        <v>19000</v>
      </c>
      <c r="O35" s="330"/>
      <c r="P35" s="263"/>
      <c r="Q35" s="261"/>
      <c r="R35" s="261"/>
      <c r="S35" s="261"/>
      <c r="T35" s="261"/>
      <c r="U35" s="261"/>
      <c r="V35" s="261"/>
      <c r="W35" s="261"/>
      <c r="X35" s="261"/>
      <c r="Y35" s="261"/>
      <c r="Z35" s="261"/>
      <c r="AA35" s="261"/>
      <c r="AB35" s="261"/>
      <c r="AC35" s="261"/>
      <c r="AD35" s="261"/>
      <c r="AE35" s="261"/>
      <c r="AF35" s="261"/>
      <c r="AG35" s="261"/>
      <c r="AH35" s="261"/>
      <c r="AI35" s="261"/>
      <c r="AJ35" s="261"/>
      <c r="AK35" s="261"/>
      <c r="AL35" s="261"/>
      <c r="AM35" s="261"/>
      <c r="AN35" s="261"/>
      <c r="AO35" s="261"/>
      <c r="AP35" s="261"/>
      <c r="AQ35" s="261"/>
      <c r="AR35" s="261"/>
      <c r="AS35" s="261"/>
      <c r="AT35" s="261"/>
      <c r="AU35" s="261"/>
      <c r="AV35" s="261"/>
      <c r="AW35" s="261"/>
      <c r="AX35" s="261"/>
      <c r="AY35" s="261"/>
      <c r="AZ35" s="261"/>
      <c r="BA35" s="261"/>
      <c r="BB35" s="261"/>
      <c r="BC35" s="261"/>
      <c r="BD35" s="261"/>
      <c r="BE35" s="261"/>
      <c r="BF35" s="261"/>
      <c r="BG35" s="261"/>
      <c r="BH35" s="261"/>
      <c r="BI35" s="261"/>
      <c r="BJ35" s="261"/>
      <c r="BK35" s="261"/>
      <c r="BL35" s="261"/>
      <c r="BM35" s="261"/>
      <c r="BN35" s="261"/>
      <c r="BO35" s="261"/>
      <c r="BP35" s="261"/>
      <c r="BQ35" s="261"/>
      <c r="BR35" s="261"/>
      <c r="BS35" s="261"/>
      <c r="BT35" s="261"/>
      <c r="BU35" s="261"/>
      <c r="BV35" s="261"/>
      <c r="BW35" s="261"/>
      <c r="BX35" s="261"/>
      <c r="BY35" s="261"/>
      <c r="BZ35" s="261"/>
      <c r="CA35" s="261"/>
      <c r="CB35" s="261"/>
      <c r="CC35" s="261"/>
      <c r="CD35" s="261"/>
      <c r="CE35" s="261"/>
      <c r="CF35" s="261"/>
      <c r="CG35" s="261"/>
      <c r="CH35" s="261"/>
      <c r="CI35" s="261"/>
      <c r="CJ35" s="261"/>
      <c r="CK35" s="261"/>
      <c r="CL35" s="261"/>
      <c r="CM35" s="261"/>
      <c r="CN35" s="261"/>
      <c r="CO35" s="261"/>
      <c r="CP35" s="261"/>
      <c r="CQ35" s="261"/>
      <c r="CR35" s="261"/>
      <c r="CS35" s="261"/>
      <c r="CT35" s="261"/>
      <c r="CU35" s="261"/>
      <c r="CV35" s="261"/>
      <c r="CW35" s="261"/>
      <c r="CX35" s="261"/>
      <c r="CY35" s="261"/>
      <c r="CZ35" s="261"/>
      <c r="DA35" s="261"/>
      <c r="DB35" s="261"/>
      <c r="DC35" s="261"/>
      <c r="DD35" s="261"/>
      <c r="DE35" s="261"/>
      <c r="DF35" s="261"/>
      <c r="DG35" s="261"/>
      <c r="DH35" s="261"/>
      <c r="DI35" s="261"/>
      <c r="DJ35" s="261"/>
      <c r="DK35" s="261"/>
      <c r="DL35" s="261"/>
      <c r="DM35" s="261"/>
      <c r="DN35" s="261"/>
      <c r="DO35" s="261"/>
      <c r="DP35" s="261"/>
      <c r="DQ35" s="261"/>
      <c r="DR35" s="261"/>
      <c r="DS35" s="261"/>
      <c r="DT35" s="261"/>
      <c r="DU35" s="261"/>
      <c r="DV35" s="261"/>
      <c r="DW35" s="261"/>
      <c r="DX35" s="261"/>
      <c r="DY35" s="261"/>
      <c r="DZ35" s="261"/>
      <c r="EA35" s="261"/>
      <c r="EB35" s="261"/>
      <c r="EC35" s="261"/>
      <c r="ED35" s="261"/>
      <c r="EE35" s="261"/>
      <c r="EF35" s="261"/>
      <c r="EG35" s="261"/>
      <c r="EH35" s="261"/>
      <c r="EI35" s="261"/>
      <c r="EJ35" s="261"/>
      <c r="EK35" s="261"/>
      <c r="EL35" s="261"/>
      <c r="EM35" s="261"/>
      <c r="EN35" s="261"/>
      <c r="EO35" s="261"/>
      <c r="EP35" s="261"/>
      <c r="EQ35" s="261"/>
      <c r="ER35" s="261"/>
      <c r="ES35" s="261"/>
      <c r="ET35" s="261"/>
      <c r="EU35" s="261"/>
      <c r="EV35" s="261"/>
      <c r="EW35" s="261"/>
      <c r="EX35" s="261"/>
      <c r="EY35" s="261"/>
      <c r="EZ35" s="261"/>
      <c r="FA35" s="261"/>
      <c r="FB35" s="261"/>
      <c r="FC35" s="261"/>
      <c r="FD35" s="261"/>
      <c r="FE35" s="261"/>
      <c r="FF35" s="261"/>
      <c r="FG35" s="261"/>
      <c r="FH35" s="261"/>
      <c r="FI35" s="261"/>
      <c r="FJ35" s="261"/>
      <c r="FK35" s="261"/>
      <c r="FL35" s="261"/>
      <c r="FM35" s="261"/>
      <c r="FN35" s="261"/>
      <c r="FO35" s="261"/>
      <c r="FP35" s="261"/>
      <c r="FQ35" s="261"/>
      <c r="FR35" s="261"/>
      <c r="FS35" s="261"/>
      <c r="FT35" s="261"/>
      <c r="FU35" s="261"/>
      <c r="FV35" s="261"/>
      <c r="FW35" s="261"/>
      <c r="FX35" s="261"/>
      <c r="FY35" s="261"/>
      <c r="FZ35" s="261"/>
      <c r="GA35" s="261"/>
      <c r="GB35" s="261"/>
      <c r="GC35" s="261"/>
      <c r="GD35" s="261"/>
      <c r="GE35" s="261"/>
      <c r="GF35" s="261"/>
      <c r="GG35" s="261"/>
      <c r="GH35" s="261"/>
      <c r="GI35" s="261"/>
      <c r="GJ35" s="261"/>
      <c r="GK35" s="261"/>
      <c r="GL35" s="261"/>
      <c r="GM35" s="261"/>
      <c r="GN35" s="261"/>
      <c r="GO35" s="261"/>
      <c r="GP35" s="261"/>
      <c r="GQ35" s="261"/>
      <c r="GR35" s="261"/>
      <c r="GS35" s="261"/>
      <c r="GT35" s="261"/>
      <c r="GU35" s="261"/>
      <c r="GV35" s="261"/>
      <c r="GW35" s="261"/>
      <c r="GX35" s="261"/>
      <c r="GY35" s="261"/>
      <c r="GZ35" s="261"/>
      <c r="HA35" s="261"/>
      <c r="HB35" s="261"/>
      <c r="HC35" s="261"/>
      <c r="HD35" s="261"/>
      <c r="HE35" s="261"/>
      <c r="HF35" s="261"/>
      <c r="HG35" s="261"/>
      <c r="HH35" s="261"/>
      <c r="HI35" s="261"/>
      <c r="HJ35" s="261"/>
      <c r="HK35" s="261"/>
      <c r="HL35" s="261"/>
      <c r="HM35" s="261"/>
      <c r="HN35" s="261"/>
      <c r="HO35" s="261"/>
      <c r="HP35" s="261"/>
      <c r="HQ35" s="261"/>
      <c r="HR35" s="261"/>
      <c r="HS35" s="261"/>
      <c r="HT35" s="261"/>
      <c r="HU35" s="261"/>
      <c r="HV35" s="261"/>
      <c r="HW35" s="261"/>
      <c r="HX35" s="261"/>
      <c r="HY35" s="261"/>
      <c r="HZ35" s="261"/>
      <c r="IA35" s="261"/>
      <c r="IB35" s="261"/>
    </row>
    <row r="36" spans="1:236" s="264" customFormat="1" ht="15.75" customHeight="1">
      <c r="A36" s="339"/>
      <c r="B36" s="335" t="s">
        <v>2774</v>
      </c>
      <c r="C36" s="331"/>
      <c r="D36" s="325" t="s">
        <v>281</v>
      </c>
      <c r="E36" s="330">
        <v>17300</v>
      </c>
      <c r="F36" s="330"/>
      <c r="G36" s="330">
        <v>16400</v>
      </c>
      <c r="H36" s="330">
        <v>16400</v>
      </c>
      <c r="I36" s="330"/>
      <c r="J36" s="330"/>
      <c r="K36" s="330"/>
      <c r="L36" s="330">
        <v>18500</v>
      </c>
      <c r="M36" s="330"/>
      <c r="N36" s="330">
        <v>19000</v>
      </c>
      <c r="O36" s="330"/>
      <c r="P36" s="263"/>
      <c r="Q36" s="261"/>
      <c r="R36" s="261"/>
      <c r="S36" s="261"/>
      <c r="T36" s="261"/>
      <c r="U36" s="261"/>
      <c r="V36" s="261"/>
      <c r="W36" s="261"/>
      <c r="X36" s="261"/>
      <c r="Y36" s="261"/>
      <c r="Z36" s="261"/>
      <c r="AA36" s="261"/>
      <c r="AB36" s="261"/>
      <c r="AC36" s="261"/>
      <c r="AD36" s="261"/>
      <c r="AE36" s="261"/>
      <c r="AF36" s="261"/>
      <c r="AG36" s="261"/>
      <c r="AH36" s="261"/>
      <c r="AI36" s="261"/>
      <c r="AJ36" s="261"/>
      <c r="AK36" s="261"/>
      <c r="AL36" s="261"/>
      <c r="AM36" s="261"/>
      <c r="AN36" s="261"/>
      <c r="AO36" s="261"/>
      <c r="AP36" s="261"/>
      <c r="AQ36" s="261"/>
      <c r="AR36" s="261"/>
      <c r="AS36" s="261"/>
      <c r="AT36" s="261"/>
      <c r="AU36" s="261"/>
      <c r="AV36" s="261"/>
      <c r="AW36" s="261"/>
      <c r="AX36" s="261"/>
      <c r="AY36" s="261"/>
      <c r="AZ36" s="261"/>
      <c r="BA36" s="261"/>
      <c r="BB36" s="261"/>
      <c r="BC36" s="261"/>
      <c r="BD36" s="261"/>
      <c r="BE36" s="261"/>
      <c r="BF36" s="261"/>
      <c r="BG36" s="261"/>
      <c r="BH36" s="261"/>
      <c r="BI36" s="261"/>
      <c r="BJ36" s="261"/>
      <c r="BK36" s="261"/>
      <c r="BL36" s="261"/>
      <c r="BM36" s="261"/>
      <c r="BN36" s="261"/>
      <c r="BO36" s="261"/>
      <c r="BP36" s="261"/>
      <c r="BQ36" s="261"/>
      <c r="BR36" s="261"/>
      <c r="BS36" s="261"/>
      <c r="BT36" s="261"/>
      <c r="BU36" s="261"/>
      <c r="BV36" s="261"/>
      <c r="BW36" s="261"/>
      <c r="BX36" s="261"/>
      <c r="BY36" s="261"/>
      <c r="BZ36" s="261"/>
      <c r="CA36" s="261"/>
      <c r="CB36" s="261"/>
      <c r="CC36" s="261"/>
      <c r="CD36" s="261"/>
      <c r="CE36" s="261"/>
      <c r="CF36" s="261"/>
      <c r="CG36" s="261"/>
      <c r="CH36" s="261"/>
      <c r="CI36" s="261"/>
      <c r="CJ36" s="261"/>
      <c r="CK36" s="261"/>
      <c r="CL36" s="261"/>
      <c r="CM36" s="261"/>
      <c r="CN36" s="261"/>
      <c r="CO36" s="261"/>
      <c r="CP36" s="261"/>
      <c r="CQ36" s="261"/>
      <c r="CR36" s="261"/>
      <c r="CS36" s="261"/>
      <c r="CT36" s="261"/>
      <c r="CU36" s="261"/>
      <c r="CV36" s="261"/>
      <c r="CW36" s="261"/>
      <c r="CX36" s="261"/>
      <c r="CY36" s="261"/>
      <c r="CZ36" s="261"/>
      <c r="DA36" s="261"/>
      <c r="DB36" s="261"/>
      <c r="DC36" s="261"/>
      <c r="DD36" s="261"/>
      <c r="DE36" s="261"/>
      <c r="DF36" s="261"/>
      <c r="DG36" s="261"/>
      <c r="DH36" s="261"/>
      <c r="DI36" s="261"/>
      <c r="DJ36" s="261"/>
      <c r="DK36" s="261"/>
      <c r="DL36" s="261"/>
      <c r="DM36" s="261"/>
      <c r="DN36" s="261"/>
      <c r="DO36" s="261"/>
      <c r="DP36" s="261"/>
      <c r="DQ36" s="261"/>
      <c r="DR36" s="261"/>
      <c r="DS36" s="261"/>
      <c r="DT36" s="261"/>
      <c r="DU36" s="261"/>
      <c r="DV36" s="261"/>
      <c r="DW36" s="261"/>
      <c r="DX36" s="261"/>
      <c r="DY36" s="261"/>
      <c r="DZ36" s="261"/>
      <c r="EA36" s="261"/>
      <c r="EB36" s="261"/>
      <c r="EC36" s="261"/>
      <c r="ED36" s="261"/>
      <c r="EE36" s="261"/>
      <c r="EF36" s="261"/>
      <c r="EG36" s="261"/>
      <c r="EH36" s="261"/>
      <c r="EI36" s="261"/>
      <c r="EJ36" s="261"/>
      <c r="EK36" s="261"/>
      <c r="EL36" s="261"/>
      <c r="EM36" s="261"/>
      <c r="EN36" s="261"/>
      <c r="EO36" s="261"/>
      <c r="EP36" s="261"/>
      <c r="EQ36" s="261"/>
      <c r="ER36" s="261"/>
      <c r="ES36" s="261"/>
      <c r="ET36" s="261"/>
      <c r="EU36" s="261"/>
      <c r="EV36" s="261"/>
      <c r="EW36" s="261"/>
      <c r="EX36" s="261"/>
      <c r="EY36" s="261"/>
      <c r="EZ36" s="261"/>
      <c r="FA36" s="261"/>
      <c r="FB36" s="261"/>
      <c r="FC36" s="261"/>
      <c r="FD36" s="261"/>
      <c r="FE36" s="261"/>
      <c r="FF36" s="261"/>
      <c r="FG36" s="261"/>
      <c r="FH36" s="261"/>
      <c r="FI36" s="261"/>
      <c r="FJ36" s="261"/>
      <c r="FK36" s="261"/>
      <c r="FL36" s="261"/>
      <c r="FM36" s="261"/>
      <c r="FN36" s="261"/>
      <c r="FO36" s="261"/>
      <c r="FP36" s="261"/>
      <c r="FQ36" s="261"/>
      <c r="FR36" s="261"/>
      <c r="FS36" s="261"/>
      <c r="FT36" s="261"/>
      <c r="FU36" s="261"/>
      <c r="FV36" s="261"/>
      <c r="FW36" s="261"/>
      <c r="FX36" s="261"/>
      <c r="FY36" s="261"/>
      <c r="FZ36" s="261"/>
      <c r="GA36" s="261"/>
      <c r="GB36" s="261"/>
      <c r="GC36" s="261"/>
      <c r="GD36" s="261"/>
      <c r="GE36" s="261"/>
      <c r="GF36" s="261"/>
      <c r="GG36" s="261"/>
      <c r="GH36" s="261"/>
      <c r="GI36" s="261"/>
      <c r="GJ36" s="261"/>
      <c r="GK36" s="261"/>
      <c r="GL36" s="261"/>
      <c r="GM36" s="261"/>
      <c r="GN36" s="261"/>
      <c r="GO36" s="261"/>
      <c r="GP36" s="261"/>
      <c r="GQ36" s="261"/>
      <c r="GR36" s="261"/>
      <c r="GS36" s="261"/>
      <c r="GT36" s="261"/>
      <c r="GU36" s="261"/>
      <c r="GV36" s="261"/>
      <c r="GW36" s="261"/>
      <c r="GX36" s="261"/>
      <c r="GY36" s="261"/>
      <c r="GZ36" s="261"/>
      <c r="HA36" s="261"/>
      <c r="HB36" s="261"/>
      <c r="HC36" s="261"/>
      <c r="HD36" s="261"/>
      <c r="HE36" s="261"/>
      <c r="HF36" s="261"/>
      <c r="HG36" s="261"/>
      <c r="HH36" s="261"/>
      <c r="HI36" s="261"/>
      <c r="HJ36" s="261"/>
      <c r="HK36" s="261"/>
      <c r="HL36" s="261"/>
      <c r="HM36" s="261"/>
      <c r="HN36" s="261"/>
      <c r="HO36" s="261"/>
      <c r="HP36" s="261"/>
      <c r="HQ36" s="261"/>
      <c r="HR36" s="261"/>
      <c r="HS36" s="261"/>
      <c r="HT36" s="261"/>
      <c r="HU36" s="261"/>
      <c r="HV36" s="261"/>
      <c r="HW36" s="261"/>
      <c r="HX36" s="261"/>
      <c r="HY36" s="261"/>
      <c r="HZ36" s="261"/>
      <c r="IA36" s="261"/>
      <c r="IB36" s="261"/>
    </row>
    <row r="37" spans="1:236" s="264" customFormat="1" ht="15.75" customHeight="1">
      <c r="A37" s="339"/>
      <c r="B37" s="335" t="s">
        <v>2775</v>
      </c>
      <c r="C37" s="331"/>
      <c r="D37" s="325" t="s">
        <v>282</v>
      </c>
      <c r="E37" s="330">
        <v>17300</v>
      </c>
      <c r="F37" s="330"/>
      <c r="G37" s="330">
        <v>16400</v>
      </c>
      <c r="H37" s="330">
        <v>16400</v>
      </c>
      <c r="I37" s="330"/>
      <c r="J37" s="330"/>
      <c r="K37" s="330"/>
      <c r="L37" s="330">
        <v>18500</v>
      </c>
      <c r="M37" s="330"/>
      <c r="N37" s="330">
        <v>19000</v>
      </c>
      <c r="O37" s="330"/>
      <c r="P37" s="263"/>
      <c r="Q37" s="261"/>
      <c r="R37" s="261"/>
      <c r="S37" s="261"/>
      <c r="T37" s="261"/>
      <c r="U37" s="261"/>
      <c r="V37" s="261"/>
      <c r="W37" s="261"/>
      <c r="X37" s="261"/>
      <c r="Y37" s="261"/>
      <c r="Z37" s="261"/>
      <c r="AA37" s="261"/>
      <c r="AB37" s="261"/>
      <c r="AC37" s="261"/>
      <c r="AD37" s="261"/>
      <c r="AE37" s="261"/>
      <c r="AF37" s="261"/>
      <c r="AG37" s="261"/>
      <c r="AH37" s="261"/>
      <c r="AI37" s="261"/>
      <c r="AJ37" s="261"/>
      <c r="AK37" s="261"/>
      <c r="AL37" s="261"/>
      <c r="AM37" s="261"/>
      <c r="AN37" s="261"/>
      <c r="AO37" s="261"/>
      <c r="AP37" s="261"/>
      <c r="AQ37" s="261"/>
      <c r="AR37" s="261"/>
      <c r="AS37" s="261"/>
      <c r="AT37" s="261"/>
      <c r="AU37" s="261"/>
      <c r="AV37" s="261"/>
      <c r="AW37" s="261"/>
      <c r="AX37" s="261"/>
      <c r="AY37" s="261"/>
      <c r="AZ37" s="261"/>
      <c r="BA37" s="261"/>
      <c r="BB37" s="261"/>
      <c r="BC37" s="261"/>
      <c r="BD37" s="261"/>
      <c r="BE37" s="261"/>
      <c r="BF37" s="261"/>
      <c r="BG37" s="261"/>
      <c r="BH37" s="261"/>
      <c r="BI37" s="261"/>
      <c r="BJ37" s="261"/>
      <c r="BK37" s="261"/>
      <c r="BL37" s="261"/>
      <c r="BM37" s="261"/>
      <c r="BN37" s="261"/>
      <c r="BO37" s="261"/>
      <c r="BP37" s="261"/>
      <c r="BQ37" s="261"/>
      <c r="BR37" s="261"/>
      <c r="BS37" s="261"/>
      <c r="BT37" s="261"/>
      <c r="BU37" s="261"/>
      <c r="BV37" s="261"/>
      <c r="BW37" s="261"/>
      <c r="BX37" s="261"/>
      <c r="BY37" s="261"/>
      <c r="BZ37" s="261"/>
      <c r="CA37" s="261"/>
      <c r="CB37" s="261"/>
      <c r="CC37" s="261"/>
      <c r="CD37" s="261"/>
      <c r="CE37" s="261"/>
      <c r="CF37" s="261"/>
      <c r="CG37" s="261"/>
      <c r="CH37" s="261"/>
      <c r="CI37" s="261"/>
      <c r="CJ37" s="261"/>
      <c r="CK37" s="261"/>
      <c r="CL37" s="261"/>
      <c r="CM37" s="261"/>
      <c r="CN37" s="261"/>
      <c r="CO37" s="261"/>
      <c r="CP37" s="261"/>
      <c r="CQ37" s="261"/>
      <c r="CR37" s="261"/>
      <c r="CS37" s="261"/>
      <c r="CT37" s="261"/>
      <c r="CU37" s="261"/>
      <c r="CV37" s="261"/>
      <c r="CW37" s="261"/>
      <c r="CX37" s="261"/>
      <c r="CY37" s="261"/>
      <c r="CZ37" s="261"/>
      <c r="DA37" s="261"/>
      <c r="DB37" s="261"/>
      <c r="DC37" s="261"/>
      <c r="DD37" s="261"/>
      <c r="DE37" s="261"/>
      <c r="DF37" s="261"/>
      <c r="DG37" s="261"/>
      <c r="DH37" s="261"/>
      <c r="DI37" s="261"/>
      <c r="DJ37" s="261"/>
      <c r="DK37" s="261"/>
      <c r="DL37" s="261"/>
      <c r="DM37" s="261"/>
      <c r="DN37" s="261"/>
      <c r="DO37" s="261"/>
      <c r="DP37" s="261"/>
      <c r="DQ37" s="261"/>
      <c r="DR37" s="261"/>
      <c r="DS37" s="261"/>
      <c r="DT37" s="261"/>
      <c r="DU37" s="261"/>
      <c r="DV37" s="261"/>
      <c r="DW37" s="261"/>
      <c r="DX37" s="261"/>
      <c r="DY37" s="261"/>
      <c r="DZ37" s="261"/>
      <c r="EA37" s="261"/>
      <c r="EB37" s="261"/>
      <c r="EC37" s="261"/>
      <c r="ED37" s="261"/>
      <c r="EE37" s="261"/>
      <c r="EF37" s="261"/>
      <c r="EG37" s="261"/>
      <c r="EH37" s="261"/>
      <c r="EI37" s="261"/>
      <c r="EJ37" s="261"/>
      <c r="EK37" s="261"/>
      <c r="EL37" s="261"/>
      <c r="EM37" s="261"/>
      <c r="EN37" s="261"/>
      <c r="EO37" s="261"/>
      <c r="EP37" s="261"/>
      <c r="EQ37" s="261"/>
      <c r="ER37" s="261"/>
      <c r="ES37" s="261"/>
      <c r="ET37" s="261"/>
      <c r="EU37" s="261"/>
      <c r="EV37" s="261"/>
      <c r="EW37" s="261"/>
      <c r="EX37" s="261"/>
      <c r="EY37" s="261"/>
      <c r="EZ37" s="261"/>
      <c r="FA37" s="261"/>
      <c r="FB37" s="261"/>
      <c r="FC37" s="261"/>
      <c r="FD37" s="261"/>
      <c r="FE37" s="261"/>
      <c r="FF37" s="261"/>
      <c r="FG37" s="261"/>
      <c r="FH37" s="261"/>
      <c r="FI37" s="261"/>
      <c r="FJ37" s="261"/>
      <c r="FK37" s="261"/>
      <c r="FL37" s="261"/>
      <c r="FM37" s="261"/>
      <c r="FN37" s="261"/>
      <c r="FO37" s="261"/>
      <c r="FP37" s="261"/>
      <c r="FQ37" s="261"/>
      <c r="FR37" s="261"/>
      <c r="FS37" s="261"/>
      <c r="FT37" s="261"/>
      <c r="FU37" s="261"/>
      <c r="FV37" s="261"/>
      <c r="FW37" s="261"/>
      <c r="FX37" s="261"/>
      <c r="FY37" s="261"/>
      <c r="FZ37" s="261"/>
      <c r="GA37" s="261"/>
      <c r="GB37" s="261"/>
      <c r="GC37" s="261"/>
      <c r="GD37" s="261"/>
      <c r="GE37" s="261"/>
      <c r="GF37" s="261"/>
      <c r="GG37" s="261"/>
      <c r="GH37" s="261"/>
      <c r="GI37" s="261"/>
      <c r="GJ37" s="261"/>
      <c r="GK37" s="261"/>
      <c r="GL37" s="261"/>
      <c r="GM37" s="261"/>
      <c r="GN37" s="261"/>
      <c r="GO37" s="261"/>
      <c r="GP37" s="261"/>
      <c r="GQ37" s="261"/>
      <c r="GR37" s="261"/>
      <c r="GS37" s="261"/>
      <c r="GT37" s="261"/>
      <c r="GU37" s="261"/>
      <c r="GV37" s="261"/>
      <c r="GW37" s="261"/>
      <c r="GX37" s="261"/>
      <c r="GY37" s="261"/>
      <c r="GZ37" s="261"/>
      <c r="HA37" s="261"/>
      <c r="HB37" s="261"/>
      <c r="HC37" s="261"/>
      <c r="HD37" s="261"/>
      <c r="HE37" s="261"/>
      <c r="HF37" s="261"/>
      <c r="HG37" s="261"/>
      <c r="HH37" s="261"/>
      <c r="HI37" s="261"/>
      <c r="HJ37" s="261"/>
      <c r="HK37" s="261"/>
      <c r="HL37" s="261"/>
      <c r="HM37" s="261"/>
      <c r="HN37" s="261"/>
      <c r="HO37" s="261"/>
      <c r="HP37" s="261"/>
      <c r="HQ37" s="261"/>
      <c r="HR37" s="261"/>
      <c r="HS37" s="261"/>
      <c r="HT37" s="261"/>
      <c r="HU37" s="261"/>
      <c r="HV37" s="261"/>
      <c r="HW37" s="261"/>
      <c r="HX37" s="261"/>
      <c r="HY37" s="261"/>
      <c r="HZ37" s="261"/>
      <c r="IA37" s="261"/>
      <c r="IB37" s="261"/>
    </row>
    <row r="38" spans="1:236" s="264" customFormat="1" ht="15.75" customHeight="1">
      <c r="A38" s="339"/>
      <c r="B38" s="335" t="s">
        <v>2776</v>
      </c>
      <c r="C38" s="331"/>
      <c r="D38" s="325" t="s">
        <v>282</v>
      </c>
      <c r="E38" s="330">
        <v>17300</v>
      </c>
      <c r="F38" s="333"/>
      <c r="G38" s="330">
        <v>16400</v>
      </c>
      <c r="H38" s="330">
        <v>16400</v>
      </c>
      <c r="I38" s="330"/>
      <c r="J38" s="330"/>
      <c r="K38" s="330"/>
      <c r="L38" s="330">
        <v>18500</v>
      </c>
      <c r="M38" s="330"/>
      <c r="N38" s="330">
        <v>19000</v>
      </c>
      <c r="O38" s="330"/>
      <c r="P38" s="263"/>
      <c r="Q38" s="261"/>
      <c r="R38" s="261"/>
      <c r="S38" s="261"/>
      <c r="T38" s="261"/>
      <c r="U38" s="261"/>
      <c r="V38" s="261"/>
      <c r="W38" s="261"/>
      <c r="X38" s="261"/>
      <c r="Y38" s="261"/>
      <c r="Z38" s="261"/>
      <c r="AA38" s="261"/>
      <c r="AB38" s="261"/>
      <c r="AC38" s="261"/>
      <c r="AD38" s="261"/>
      <c r="AE38" s="261"/>
      <c r="AF38" s="261"/>
      <c r="AG38" s="261"/>
      <c r="AH38" s="261"/>
      <c r="AI38" s="261"/>
      <c r="AJ38" s="261"/>
      <c r="AK38" s="261"/>
      <c r="AL38" s="261"/>
      <c r="AM38" s="261"/>
      <c r="AN38" s="261"/>
      <c r="AO38" s="261"/>
      <c r="AP38" s="261"/>
      <c r="AQ38" s="261"/>
      <c r="AR38" s="261"/>
      <c r="AS38" s="261"/>
      <c r="AT38" s="261"/>
      <c r="AU38" s="261"/>
      <c r="AV38" s="261"/>
      <c r="AW38" s="261"/>
      <c r="AX38" s="261"/>
      <c r="AY38" s="261"/>
      <c r="AZ38" s="261"/>
      <c r="BA38" s="261"/>
      <c r="BB38" s="261"/>
      <c r="BC38" s="261"/>
      <c r="BD38" s="261"/>
      <c r="BE38" s="261"/>
      <c r="BF38" s="261"/>
      <c r="BG38" s="261"/>
      <c r="BH38" s="261"/>
      <c r="BI38" s="261"/>
      <c r="BJ38" s="261"/>
      <c r="BK38" s="261"/>
      <c r="BL38" s="261"/>
      <c r="BM38" s="261"/>
      <c r="BN38" s="261"/>
      <c r="BO38" s="261"/>
      <c r="BP38" s="261"/>
      <c r="BQ38" s="261"/>
      <c r="BR38" s="261"/>
      <c r="BS38" s="261"/>
      <c r="BT38" s="261"/>
      <c r="BU38" s="261"/>
      <c r="BV38" s="261"/>
      <c r="BW38" s="261"/>
      <c r="BX38" s="261"/>
      <c r="BY38" s="261"/>
      <c r="BZ38" s="261"/>
      <c r="CA38" s="261"/>
      <c r="CB38" s="261"/>
      <c r="CC38" s="261"/>
      <c r="CD38" s="261"/>
      <c r="CE38" s="261"/>
      <c r="CF38" s="261"/>
      <c r="CG38" s="261"/>
      <c r="CH38" s="261"/>
      <c r="CI38" s="261"/>
      <c r="CJ38" s="261"/>
      <c r="CK38" s="261"/>
      <c r="CL38" s="261"/>
      <c r="CM38" s="261"/>
      <c r="CN38" s="261"/>
      <c r="CO38" s="261"/>
      <c r="CP38" s="261"/>
      <c r="CQ38" s="261"/>
      <c r="CR38" s="261"/>
      <c r="CS38" s="261"/>
      <c r="CT38" s="261"/>
      <c r="CU38" s="261"/>
      <c r="CV38" s="261"/>
      <c r="CW38" s="261"/>
      <c r="CX38" s="261"/>
      <c r="CY38" s="261"/>
      <c r="CZ38" s="261"/>
      <c r="DA38" s="261"/>
      <c r="DB38" s="261"/>
      <c r="DC38" s="261"/>
      <c r="DD38" s="261"/>
      <c r="DE38" s="261"/>
      <c r="DF38" s="261"/>
      <c r="DG38" s="261"/>
      <c r="DH38" s="261"/>
      <c r="DI38" s="261"/>
      <c r="DJ38" s="261"/>
      <c r="DK38" s="261"/>
      <c r="DL38" s="261"/>
      <c r="DM38" s="261"/>
      <c r="DN38" s="261"/>
      <c r="DO38" s="261"/>
      <c r="DP38" s="261"/>
      <c r="DQ38" s="261"/>
      <c r="DR38" s="261"/>
      <c r="DS38" s="261"/>
      <c r="DT38" s="261"/>
      <c r="DU38" s="261"/>
      <c r="DV38" s="261"/>
      <c r="DW38" s="261"/>
      <c r="DX38" s="261"/>
      <c r="DY38" s="261"/>
      <c r="DZ38" s="261"/>
      <c r="EA38" s="261"/>
      <c r="EB38" s="261"/>
      <c r="EC38" s="261"/>
      <c r="ED38" s="261"/>
      <c r="EE38" s="261"/>
      <c r="EF38" s="261"/>
      <c r="EG38" s="261"/>
      <c r="EH38" s="261"/>
      <c r="EI38" s="261"/>
      <c r="EJ38" s="261"/>
      <c r="EK38" s="261"/>
      <c r="EL38" s="261"/>
      <c r="EM38" s="261"/>
      <c r="EN38" s="261"/>
      <c r="EO38" s="261"/>
      <c r="EP38" s="261"/>
      <c r="EQ38" s="261"/>
      <c r="ER38" s="261"/>
      <c r="ES38" s="261"/>
      <c r="ET38" s="261"/>
      <c r="EU38" s="261"/>
      <c r="EV38" s="261"/>
      <c r="EW38" s="261"/>
      <c r="EX38" s="261"/>
      <c r="EY38" s="261"/>
      <c r="EZ38" s="261"/>
      <c r="FA38" s="261"/>
      <c r="FB38" s="261"/>
      <c r="FC38" s="261"/>
      <c r="FD38" s="261"/>
      <c r="FE38" s="261"/>
      <c r="FF38" s="261"/>
      <c r="FG38" s="261"/>
      <c r="FH38" s="261"/>
      <c r="FI38" s="261"/>
      <c r="FJ38" s="261"/>
      <c r="FK38" s="261"/>
      <c r="FL38" s="261"/>
      <c r="FM38" s="261"/>
      <c r="FN38" s="261"/>
      <c r="FO38" s="261"/>
      <c r="FP38" s="261"/>
      <c r="FQ38" s="261"/>
      <c r="FR38" s="261"/>
      <c r="FS38" s="261"/>
      <c r="FT38" s="261"/>
      <c r="FU38" s="261"/>
      <c r="FV38" s="261"/>
      <c r="FW38" s="261"/>
      <c r="FX38" s="261"/>
      <c r="FY38" s="261"/>
      <c r="FZ38" s="261"/>
      <c r="GA38" s="261"/>
      <c r="GB38" s="261"/>
      <c r="GC38" s="261"/>
      <c r="GD38" s="261"/>
      <c r="GE38" s="261"/>
      <c r="GF38" s="261"/>
      <c r="GG38" s="261"/>
      <c r="GH38" s="261"/>
      <c r="GI38" s="261"/>
      <c r="GJ38" s="261"/>
      <c r="GK38" s="261"/>
      <c r="GL38" s="261"/>
      <c r="GM38" s="261"/>
      <c r="GN38" s="261"/>
      <c r="GO38" s="261"/>
      <c r="GP38" s="261"/>
      <c r="GQ38" s="261"/>
      <c r="GR38" s="261"/>
      <c r="GS38" s="261"/>
      <c r="GT38" s="261"/>
      <c r="GU38" s="261"/>
      <c r="GV38" s="261"/>
      <c r="GW38" s="261"/>
      <c r="GX38" s="261"/>
      <c r="GY38" s="261"/>
      <c r="GZ38" s="261"/>
      <c r="HA38" s="261"/>
      <c r="HB38" s="261"/>
      <c r="HC38" s="261"/>
      <c r="HD38" s="261"/>
      <c r="HE38" s="261"/>
      <c r="HF38" s="261"/>
      <c r="HG38" s="261"/>
      <c r="HH38" s="261"/>
      <c r="HI38" s="261"/>
      <c r="HJ38" s="261"/>
      <c r="HK38" s="261"/>
      <c r="HL38" s="261"/>
      <c r="HM38" s="261"/>
      <c r="HN38" s="261"/>
      <c r="HO38" s="261"/>
      <c r="HP38" s="261"/>
      <c r="HQ38" s="261"/>
      <c r="HR38" s="261"/>
      <c r="HS38" s="261"/>
      <c r="HT38" s="261"/>
      <c r="HU38" s="261"/>
      <c r="HV38" s="261"/>
      <c r="HW38" s="261"/>
      <c r="HX38" s="261"/>
      <c r="HY38" s="261"/>
      <c r="HZ38" s="261"/>
      <c r="IA38" s="261"/>
      <c r="IB38" s="261"/>
    </row>
    <row r="39" spans="1:236" s="264" customFormat="1" ht="15.75" customHeight="1">
      <c r="A39" s="339"/>
      <c r="B39" s="335" t="s">
        <v>2777</v>
      </c>
      <c r="C39" s="331"/>
      <c r="D39" s="325" t="s">
        <v>281</v>
      </c>
      <c r="E39" s="330">
        <v>17300</v>
      </c>
      <c r="F39" s="330"/>
      <c r="G39" s="330">
        <v>16400</v>
      </c>
      <c r="H39" s="330">
        <v>16400</v>
      </c>
      <c r="I39" s="330"/>
      <c r="J39" s="330"/>
      <c r="K39" s="330"/>
      <c r="L39" s="330">
        <v>18500</v>
      </c>
      <c r="M39" s="330"/>
      <c r="N39" s="330">
        <v>19000</v>
      </c>
      <c r="O39" s="330"/>
      <c r="P39" s="263"/>
      <c r="Q39" s="261"/>
      <c r="R39" s="261"/>
      <c r="S39" s="261"/>
      <c r="T39" s="261"/>
      <c r="U39" s="261"/>
      <c r="V39" s="261"/>
      <c r="W39" s="261"/>
      <c r="X39" s="261"/>
      <c r="Y39" s="261"/>
      <c r="Z39" s="261"/>
      <c r="AA39" s="261"/>
      <c r="AB39" s="261"/>
      <c r="AC39" s="261"/>
      <c r="AD39" s="261"/>
      <c r="AE39" s="261"/>
      <c r="AF39" s="261"/>
      <c r="AG39" s="261"/>
      <c r="AH39" s="261"/>
      <c r="AI39" s="261"/>
      <c r="AJ39" s="261"/>
      <c r="AK39" s="261"/>
      <c r="AL39" s="261"/>
      <c r="AM39" s="261"/>
      <c r="AN39" s="261"/>
      <c r="AO39" s="261"/>
      <c r="AP39" s="261"/>
      <c r="AQ39" s="261"/>
      <c r="AR39" s="261"/>
      <c r="AS39" s="261"/>
      <c r="AT39" s="261"/>
      <c r="AU39" s="261"/>
      <c r="AV39" s="261"/>
      <c r="AW39" s="261"/>
      <c r="AX39" s="261"/>
      <c r="AY39" s="261"/>
      <c r="AZ39" s="261"/>
      <c r="BA39" s="261"/>
      <c r="BB39" s="261"/>
      <c r="BC39" s="261"/>
      <c r="BD39" s="261"/>
      <c r="BE39" s="261"/>
      <c r="BF39" s="261"/>
      <c r="BG39" s="261"/>
      <c r="BH39" s="261"/>
      <c r="BI39" s="261"/>
      <c r="BJ39" s="261"/>
      <c r="BK39" s="261"/>
      <c r="BL39" s="261"/>
      <c r="BM39" s="261"/>
      <c r="BN39" s="261"/>
      <c r="BO39" s="261"/>
      <c r="BP39" s="261"/>
      <c r="BQ39" s="261"/>
      <c r="BR39" s="261"/>
      <c r="BS39" s="261"/>
      <c r="BT39" s="261"/>
      <c r="BU39" s="261"/>
      <c r="BV39" s="261"/>
      <c r="BW39" s="261"/>
      <c r="BX39" s="261"/>
      <c r="BY39" s="261"/>
      <c r="BZ39" s="261"/>
      <c r="CA39" s="261"/>
      <c r="CB39" s="261"/>
      <c r="CC39" s="261"/>
      <c r="CD39" s="261"/>
      <c r="CE39" s="261"/>
      <c r="CF39" s="261"/>
      <c r="CG39" s="261"/>
      <c r="CH39" s="261"/>
      <c r="CI39" s="261"/>
      <c r="CJ39" s="261"/>
      <c r="CK39" s="261"/>
      <c r="CL39" s="261"/>
      <c r="CM39" s="261"/>
      <c r="CN39" s="261"/>
      <c r="CO39" s="261"/>
      <c r="CP39" s="261"/>
      <c r="CQ39" s="261"/>
      <c r="CR39" s="261"/>
      <c r="CS39" s="261"/>
      <c r="CT39" s="261"/>
      <c r="CU39" s="261"/>
      <c r="CV39" s="261"/>
      <c r="CW39" s="261"/>
      <c r="CX39" s="261"/>
      <c r="CY39" s="261"/>
      <c r="CZ39" s="261"/>
      <c r="DA39" s="261"/>
      <c r="DB39" s="261"/>
      <c r="DC39" s="261"/>
      <c r="DD39" s="261"/>
      <c r="DE39" s="261"/>
      <c r="DF39" s="261"/>
      <c r="DG39" s="261"/>
      <c r="DH39" s="261"/>
      <c r="DI39" s="261"/>
      <c r="DJ39" s="261"/>
      <c r="DK39" s="261"/>
      <c r="DL39" s="261"/>
      <c r="DM39" s="261"/>
      <c r="DN39" s="261"/>
      <c r="DO39" s="261"/>
      <c r="DP39" s="261"/>
      <c r="DQ39" s="261"/>
      <c r="DR39" s="261"/>
      <c r="DS39" s="261"/>
      <c r="DT39" s="261"/>
      <c r="DU39" s="261"/>
      <c r="DV39" s="261"/>
      <c r="DW39" s="261"/>
      <c r="DX39" s="261"/>
      <c r="DY39" s="261"/>
      <c r="DZ39" s="261"/>
      <c r="EA39" s="261"/>
      <c r="EB39" s="261"/>
      <c r="EC39" s="261"/>
      <c r="ED39" s="261"/>
      <c r="EE39" s="261"/>
      <c r="EF39" s="261"/>
      <c r="EG39" s="261"/>
      <c r="EH39" s="261"/>
      <c r="EI39" s="261"/>
      <c r="EJ39" s="261"/>
      <c r="EK39" s="261"/>
      <c r="EL39" s="261"/>
      <c r="EM39" s="261"/>
      <c r="EN39" s="261"/>
      <c r="EO39" s="261"/>
      <c r="EP39" s="261"/>
      <c r="EQ39" s="261"/>
      <c r="ER39" s="261"/>
      <c r="ES39" s="261"/>
      <c r="ET39" s="261"/>
      <c r="EU39" s="261"/>
      <c r="EV39" s="261"/>
      <c r="EW39" s="261"/>
      <c r="EX39" s="261"/>
      <c r="EY39" s="261"/>
      <c r="EZ39" s="261"/>
      <c r="FA39" s="261"/>
      <c r="FB39" s="261"/>
      <c r="FC39" s="261"/>
      <c r="FD39" s="261"/>
      <c r="FE39" s="261"/>
      <c r="FF39" s="261"/>
      <c r="FG39" s="261"/>
      <c r="FH39" s="261"/>
      <c r="FI39" s="261"/>
      <c r="FJ39" s="261"/>
      <c r="FK39" s="261"/>
      <c r="FL39" s="261"/>
      <c r="FM39" s="261"/>
      <c r="FN39" s="261"/>
      <c r="FO39" s="261"/>
      <c r="FP39" s="261"/>
      <c r="FQ39" s="261"/>
      <c r="FR39" s="261"/>
      <c r="FS39" s="261"/>
      <c r="FT39" s="261"/>
      <c r="FU39" s="261"/>
      <c r="FV39" s="261"/>
      <c r="FW39" s="261"/>
      <c r="FX39" s="261"/>
      <c r="FY39" s="261"/>
      <c r="FZ39" s="261"/>
      <c r="GA39" s="261"/>
      <c r="GB39" s="261"/>
      <c r="GC39" s="261"/>
      <c r="GD39" s="261"/>
      <c r="GE39" s="261"/>
      <c r="GF39" s="261"/>
      <c r="GG39" s="261"/>
      <c r="GH39" s="261"/>
      <c r="GI39" s="261"/>
      <c r="GJ39" s="261"/>
      <c r="GK39" s="261"/>
      <c r="GL39" s="261"/>
      <c r="GM39" s="261"/>
      <c r="GN39" s="261"/>
      <c r="GO39" s="261"/>
      <c r="GP39" s="261"/>
      <c r="GQ39" s="261"/>
      <c r="GR39" s="261"/>
      <c r="GS39" s="261"/>
      <c r="GT39" s="261"/>
      <c r="GU39" s="261"/>
      <c r="GV39" s="261"/>
      <c r="GW39" s="261"/>
      <c r="GX39" s="261"/>
      <c r="GY39" s="261"/>
      <c r="GZ39" s="261"/>
      <c r="HA39" s="261"/>
      <c r="HB39" s="261"/>
      <c r="HC39" s="261"/>
      <c r="HD39" s="261"/>
      <c r="HE39" s="261"/>
      <c r="HF39" s="261"/>
      <c r="HG39" s="261"/>
      <c r="HH39" s="261"/>
      <c r="HI39" s="261"/>
      <c r="HJ39" s="261"/>
      <c r="HK39" s="261"/>
      <c r="HL39" s="261"/>
      <c r="HM39" s="261"/>
      <c r="HN39" s="261"/>
      <c r="HO39" s="261"/>
      <c r="HP39" s="261"/>
      <c r="HQ39" s="261"/>
      <c r="HR39" s="261"/>
      <c r="HS39" s="261"/>
      <c r="HT39" s="261"/>
      <c r="HU39" s="261"/>
      <c r="HV39" s="261"/>
      <c r="HW39" s="261"/>
      <c r="HX39" s="261"/>
      <c r="HY39" s="261"/>
      <c r="HZ39" s="261"/>
      <c r="IA39" s="261"/>
      <c r="IB39" s="261"/>
    </row>
    <row r="40" spans="1:236" s="264" customFormat="1" ht="15.75" customHeight="1">
      <c r="A40" s="339"/>
      <c r="B40" s="335" t="s">
        <v>2778</v>
      </c>
      <c r="C40" s="331"/>
      <c r="D40" s="325" t="s">
        <v>282</v>
      </c>
      <c r="E40" s="330">
        <v>17300</v>
      </c>
      <c r="F40" s="330"/>
      <c r="G40" s="330">
        <v>16400</v>
      </c>
      <c r="H40" s="330">
        <v>16400</v>
      </c>
      <c r="I40" s="330"/>
      <c r="J40" s="330"/>
      <c r="K40" s="330"/>
      <c r="L40" s="330">
        <v>18500</v>
      </c>
      <c r="M40" s="330"/>
      <c r="N40" s="330">
        <v>19000</v>
      </c>
      <c r="O40" s="330"/>
      <c r="P40" s="263"/>
      <c r="Q40" s="261"/>
      <c r="R40" s="261"/>
      <c r="S40" s="261"/>
      <c r="T40" s="261"/>
      <c r="U40" s="261"/>
      <c r="V40" s="261"/>
      <c r="W40" s="261"/>
      <c r="X40" s="261"/>
      <c r="Y40" s="261"/>
      <c r="Z40" s="261"/>
      <c r="AA40" s="261"/>
      <c r="AB40" s="261"/>
      <c r="AC40" s="261"/>
      <c r="AD40" s="261"/>
      <c r="AE40" s="261"/>
      <c r="AF40" s="261"/>
      <c r="AG40" s="261"/>
      <c r="AH40" s="261"/>
      <c r="AI40" s="261"/>
      <c r="AJ40" s="261"/>
      <c r="AK40" s="261"/>
      <c r="AL40" s="261"/>
      <c r="AM40" s="261"/>
      <c r="AN40" s="261"/>
      <c r="AO40" s="261"/>
      <c r="AP40" s="261"/>
      <c r="AQ40" s="261"/>
      <c r="AR40" s="261"/>
      <c r="AS40" s="261"/>
      <c r="AT40" s="261"/>
      <c r="AU40" s="261"/>
      <c r="AV40" s="261"/>
      <c r="AW40" s="261"/>
      <c r="AX40" s="261"/>
      <c r="AY40" s="261"/>
      <c r="AZ40" s="261"/>
      <c r="BA40" s="261"/>
      <c r="BB40" s="261"/>
      <c r="BC40" s="261"/>
      <c r="BD40" s="261"/>
      <c r="BE40" s="261"/>
      <c r="BF40" s="261"/>
      <c r="BG40" s="261"/>
      <c r="BH40" s="261"/>
      <c r="BI40" s="261"/>
      <c r="BJ40" s="261"/>
      <c r="BK40" s="261"/>
      <c r="BL40" s="261"/>
      <c r="BM40" s="261"/>
      <c r="BN40" s="261"/>
      <c r="BO40" s="261"/>
      <c r="BP40" s="261"/>
      <c r="BQ40" s="261"/>
      <c r="BR40" s="261"/>
      <c r="BS40" s="261"/>
      <c r="BT40" s="261"/>
      <c r="BU40" s="261"/>
      <c r="BV40" s="261"/>
      <c r="BW40" s="261"/>
      <c r="BX40" s="261"/>
      <c r="BY40" s="261"/>
      <c r="BZ40" s="261"/>
      <c r="CA40" s="261"/>
      <c r="CB40" s="261"/>
      <c r="CC40" s="261"/>
      <c r="CD40" s="261"/>
      <c r="CE40" s="261"/>
      <c r="CF40" s="261"/>
      <c r="CG40" s="261"/>
      <c r="CH40" s="261"/>
      <c r="CI40" s="261"/>
      <c r="CJ40" s="261"/>
      <c r="CK40" s="261"/>
      <c r="CL40" s="261"/>
      <c r="CM40" s="261"/>
      <c r="CN40" s="261"/>
      <c r="CO40" s="261"/>
      <c r="CP40" s="261"/>
      <c r="CQ40" s="261"/>
      <c r="CR40" s="261"/>
      <c r="CS40" s="261"/>
      <c r="CT40" s="261"/>
      <c r="CU40" s="261"/>
      <c r="CV40" s="261"/>
      <c r="CW40" s="261"/>
      <c r="CX40" s="261"/>
      <c r="CY40" s="261"/>
      <c r="CZ40" s="261"/>
      <c r="DA40" s="261"/>
      <c r="DB40" s="261"/>
      <c r="DC40" s="261"/>
      <c r="DD40" s="261"/>
      <c r="DE40" s="261"/>
      <c r="DF40" s="261"/>
      <c r="DG40" s="261"/>
      <c r="DH40" s="261"/>
      <c r="DI40" s="261"/>
      <c r="DJ40" s="261"/>
      <c r="DK40" s="261"/>
      <c r="DL40" s="261"/>
      <c r="DM40" s="261"/>
      <c r="DN40" s="261"/>
      <c r="DO40" s="261"/>
      <c r="DP40" s="261"/>
      <c r="DQ40" s="261"/>
      <c r="DR40" s="261"/>
      <c r="DS40" s="261"/>
      <c r="DT40" s="261"/>
      <c r="DU40" s="261"/>
      <c r="DV40" s="261"/>
      <c r="DW40" s="261"/>
      <c r="DX40" s="261"/>
      <c r="DY40" s="261"/>
      <c r="DZ40" s="261"/>
      <c r="EA40" s="261"/>
      <c r="EB40" s="261"/>
      <c r="EC40" s="261"/>
      <c r="ED40" s="261"/>
      <c r="EE40" s="261"/>
      <c r="EF40" s="261"/>
      <c r="EG40" s="261"/>
      <c r="EH40" s="261"/>
      <c r="EI40" s="261"/>
      <c r="EJ40" s="261"/>
      <c r="EK40" s="261"/>
      <c r="EL40" s="261"/>
      <c r="EM40" s="261"/>
      <c r="EN40" s="261"/>
      <c r="EO40" s="261"/>
      <c r="EP40" s="261"/>
      <c r="EQ40" s="261"/>
      <c r="ER40" s="261"/>
      <c r="ES40" s="261"/>
      <c r="ET40" s="261"/>
      <c r="EU40" s="261"/>
      <c r="EV40" s="261"/>
      <c r="EW40" s="261"/>
      <c r="EX40" s="261"/>
      <c r="EY40" s="261"/>
      <c r="EZ40" s="261"/>
      <c r="FA40" s="261"/>
      <c r="FB40" s="261"/>
      <c r="FC40" s="261"/>
      <c r="FD40" s="261"/>
      <c r="FE40" s="261"/>
      <c r="FF40" s="261"/>
      <c r="FG40" s="261"/>
      <c r="FH40" s="261"/>
      <c r="FI40" s="261"/>
      <c r="FJ40" s="261"/>
      <c r="FK40" s="261"/>
      <c r="FL40" s="261"/>
      <c r="FM40" s="261"/>
      <c r="FN40" s="261"/>
      <c r="FO40" s="261"/>
      <c r="FP40" s="261"/>
      <c r="FQ40" s="261"/>
      <c r="FR40" s="261"/>
      <c r="FS40" s="261"/>
      <c r="FT40" s="261"/>
      <c r="FU40" s="261"/>
      <c r="FV40" s="261"/>
      <c r="FW40" s="261"/>
      <c r="FX40" s="261"/>
      <c r="FY40" s="261"/>
      <c r="FZ40" s="261"/>
      <c r="GA40" s="261"/>
      <c r="GB40" s="261"/>
      <c r="GC40" s="261"/>
      <c r="GD40" s="261"/>
      <c r="GE40" s="261"/>
      <c r="GF40" s="261"/>
      <c r="GG40" s="261"/>
      <c r="GH40" s="261"/>
      <c r="GI40" s="261"/>
      <c r="GJ40" s="261"/>
      <c r="GK40" s="261"/>
      <c r="GL40" s="261"/>
      <c r="GM40" s="261"/>
      <c r="GN40" s="261"/>
      <c r="GO40" s="261"/>
      <c r="GP40" s="261"/>
      <c r="GQ40" s="261"/>
      <c r="GR40" s="261"/>
      <c r="GS40" s="261"/>
      <c r="GT40" s="261"/>
      <c r="GU40" s="261"/>
      <c r="GV40" s="261"/>
      <c r="GW40" s="261"/>
      <c r="GX40" s="261"/>
      <c r="GY40" s="261"/>
      <c r="GZ40" s="261"/>
      <c r="HA40" s="261"/>
      <c r="HB40" s="261"/>
      <c r="HC40" s="261"/>
      <c r="HD40" s="261"/>
      <c r="HE40" s="261"/>
      <c r="HF40" s="261"/>
      <c r="HG40" s="261"/>
      <c r="HH40" s="261"/>
      <c r="HI40" s="261"/>
      <c r="HJ40" s="261"/>
      <c r="HK40" s="261"/>
      <c r="HL40" s="261"/>
      <c r="HM40" s="261"/>
      <c r="HN40" s="261"/>
      <c r="HO40" s="261"/>
      <c r="HP40" s="261"/>
      <c r="HQ40" s="261"/>
      <c r="HR40" s="261"/>
      <c r="HS40" s="261"/>
      <c r="HT40" s="261"/>
      <c r="HU40" s="261"/>
      <c r="HV40" s="261"/>
      <c r="HW40" s="261"/>
      <c r="HX40" s="261"/>
      <c r="HY40" s="261"/>
      <c r="HZ40" s="261"/>
      <c r="IA40" s="261"/>
      <c r="IB40" s="261"/>
    </row>
    <row r="41" spans="1:236" s="264" customFormat="1" ht="15.75" customHeight="1">
      <c r="A41" s="339"/>
      <c r="B41" s="335" t="s">
        <v>2779</v>
      </c>
      <c r="C41" s="331"/>
      <c r="D41" s="325" t="s">
        <v>282</v>
      </c>
      <c r="E41" s="330">
        <v>17300</v>
      </c>
      <c r="F41" s="330"/>
      <c r="G41" s="330">
        <v>16400</v>
      </c>
      <c r="H41" s="330">
        <v>16400</v>
      </c>
      <c r="I41" s="330"/>
      <c r="J41" s="330"/>
      <c r="K41" s="330"/>
      <c r="L41" s="330">
        <v>18500</v>
      </c>
      <c r="M41" s="330"/>
      <c r="N41" s="330">
        <v>19000</v>
      </c>
      <c r="O41" s="330"/>
      <c r="P41" s="263"/>
      <c r="Q41" s="261"/>
      <c r="R41" s="261"/>
      <c r="S41" s="261"/>
      <c r="T41" s="261"/>
      <c r="U41" s="261"/>
      <c r="V41" s="261"/>
      <c r="W41" s="261"/>
      <c r="X41" s="261"/>
      <c r="Y41" s="261"/>
      <c r="Z41" s="261"/>
      <c r="AA41" s="261"/>
      <c r="AB41" s="261"/>
      <c r="AC41" s="261"/>
      <c r="AD41" s="261"/>
      <c r="AE41" s="261"/>
      <c r="AF41" s="261"/>
      <c r="AG41" s="261"/>
      <c r="AH41" s="261"/>
      <c r="AI41" s="261"/>
      <c r="AJ41" s="261"/>
      <c r="AK41" s="261"/>
      <c r="AL41" s="261"/>
      <c r="AM41" s="261"/>
      <c r="AN41" s="261"/>
      <c r="AO41" s="261"/>
      <c r="AP41" s="261"/>
      <c r="AQ41" s="261"/>
      <c r="AR41" s="261"/>
      <c r="AS41" s="261"/>
      <c r="AT41" s="261"/>
      <c r="AU41" s="261"/>
      <c r="AV41" s="261"/>
      <c r="AW41" s="261"/>
      <c r="AX41" s="261"/>
      <c r="AY41" s="261"/>
      <c r="AZ41" s="261"/>
      <c r="BA41" s="261"/>
      <c r="BB41" s="261"/>
      <c r="BC41" s="261"/>
      <c r="BD41" s="261"/>
      <c r="BE41" s="261"/>
      <c r="BF41" s="261"/>
      <c r="BG41" s="261"/>
      <c r="BH41" s="261"/>
      <c r="BI41" s="261"/>
      <c r="BJ41" s="261"/>
      <c r="BK41" s="261"/>
      <c r="BL41" s="261"/>
      <c r="BM41" s="261"/>
      <c r="BN41" s="261"/>
      <c r="BO41" s="261"/>
      <c r="BP41" s="261"/>
      <c r="BQ41" s="261"/>
      <c r="BR41" s="261"/>
      <c r="BS41" s="261"/>
      <c r="BT41" s="261"/>
      <c r="BU41" s="261"/>
      <c r="BV41" s="261"/>
      <c r="BW41" s="261"/>
      <c r="BX41" s="261"/>
      <c r="BY41" s="261"/>
      <c r="BZ41" s="261"/>
      <c r="CA41" s="261"/>
      <c r="CB41" s="261"/>
      <c r="CC41" s="261"/>
      <c r="CD41" s="261"/>
      <c r="CE41" s="261"/>
      <c r="CF41" s="261"/>
      <c r="CG41" s="261"/>
      <c r="CH41" s="261"/>
      <c r="CI41" s="261"/>
      <c r="CJ41" s="261"/>
      <c r="CK41" s="261"/>
      <c r="CL41" s="261"/>
      <c r="CM41" s="261"/>
      <c r="CN41" s="261"/>
      <c r="CO41" s="261"/>
      <c r="CP41" s="261"/>
      <c r="CQ41" s="261"/>
      <c r="CR41" s="261"/>
      <c r="CS41" s="261"/>
      <c r="CT41" s="261"/>
      <c r="CU41" s="261"/>
      <c r="CV41" s="261"/>
      <c r="CW41" s="261"/>
      <c r="CX41" s="261"/>
      <c r="CY41" s="261"/>
      <c r="CZ41" s="261"/>
      <c r="DA41" s="261"/>
      <c r="DB41" s="261"/>
      <c r="DC41" s="261"/>
      <c r="DD41" s="261"/>
      <c r="DE41" s="261"/>
      <c r="DF41" s="261"/>
      <c r="DG41" s="261"/>
      <c r="DH41" s="261"/>
      <c r="DI41" s="261"/>
      <c r="DJ41" s="261"/>
      <c r="DK41" s="261"/>
      <c r="DL41" s="261"/>
      <c r="DM41" s="261"/>
      <c r="DN41" s="261"/>
      <c r="DO41" s="261"/>
      <c r="DP41" s="261"/>
      <c r="DQ41" s="261"/>
      <c r="DR41" s="261"/>
      <c r="DS41" s="261"/>
      <c r="DT41" s="261"/>
      <c r="DU41" s="261"/>
      <c r="DV41" s="261"/>
      <c r="DW41" s="261"/>
      <c r="DX41" s="261"/>
      <c r="DY41" s="261"/>
      <c r="DZ41" s="261"/>
      <c r="EA41" s="261"/>
      <c r="EB41" s="261"/>
      <c r="EC41" s="261"/>
      <c r="ED41" s="261"/>
      <c r="EE41" s="261"/>
      <c r="EF41" s="261"/>
      <c r="EG41" s="261"/>
      <c r="EH41" s="261"/>
      <c r="EI41" s="261"/>
      <c r="EJ41" s="261"/>
      <c r="EK41" s="261"/>
      <c r="EL41" s="261"/>
      <c r="EM41" s="261"/>
      <c r="EN41" s="261"/>
      <c r="EO41" s="261"/>
      <c r="EP41" s="261"/>
      <c r="EQ41" s="261"/>
      <c r="ER41" s="261"/>
      <c r="ES41" s="261"/>
      <c r="ET41" s="261"/>
      <c r="EU41" s="261"/>
      <c r="EV41" s="261"/>
      <c r="EW41" s="261"/>
      <c r="EX41" s="261"/>
      <c r="EY41" s="261"/>
      <c r="EZ41" s="261"/>
      <c r="FA41" s="261"/>
      <c r="FB41" s="261"/>
      <c r="FC41" s="261"/>
      <c r="FD41" s="261"/>
      <c r="FE41" s="261"/>
      <c r="FF41" s="261"/>
      <c r="FG41" s="261"/>
      <c r="FH41" s="261"/>
      <c r="FI41" s="261"/>
      <c r="FJ41" s="261"/>
      <c r="FK41" s="261"/>
      <c r="FL41" s="261"/>
      <c r="FM41" s="261"/>
      <c r="FN41" s="261"/>
      <c r="FO41" s="261"/>
      <c r="FP41" s="261"/>
      <c r="FQ41" s="261"/>
      <c r="FR41" s="261"/>
      <c r="FS41" s="261"/>
      <c r="FT41" s="261"/>
      <c r="FU41" s="261"/>
      <c r="FV41" s="261"/>
      <c r="FW41" s="261"/>
      <c r="FX41" s="261"/>
      <c r="FY41" s="261"/>
      <c r="FZ41" s="261"/>
      <c r="GA41" s="261"/>
      <c r="GB41" s="261"/>
      <c r="GC41" s="261"/>
      <c r="GD41" s="261"/>
      <c r="GE41" s="261"/>
      <c r="GF41" s="261"/>
      <c r="GG41" s="261"/>
      <c r="GH41" s="261"/>
      <c r="GI41" s="261"/>
      <c r="GJ41" s="261"/>
      <c r="GK41" s="261"/>
      <c r="GL41" s="261"/>
      <c r="GM41" s="261"/>
      <c r="GN41" s="261"/>
      <c r="GO41" s="261"/>
      <c r="GP41" s="261"/>
      <c r="GQ41" s="261"/>
      <c r="GR41" s="261"/>
      <c r="GS41" s="261"/>
      <c r="GT41" s="261"/>
      <c r="GU41" s="261"/>
      <c r="GV41" s="261"/>
      <c r="GW41" s="261"/>
      <c r="GX41" s="261"/>
      <c r="GY41" s="261"/>
      <c r="GZ41" s="261"/>
      <c r="HA41" s="261"/>
      <c r="HB41" s="261"/>
      <c r="HC41" s="261"/>
      <c r="HD41" s="261"/>
      <c r="HE41" s="261"/>
      <c r="HF41" s="261"/>
      <c r="HG41" s="261"/>
      <c r="HH41" s="261"/>
      <c r="HI41" s="261"/>
      <c r="HJ41" s="261"/>
      <c r="HK41" s="261"/>
      <c r="HL41" s="261"/>
      <c r="HM41" s="261"/>
      <c r="HN41" s="261"/>
      <c r="HO41" s="261"/>
      <c r="HP41" s="261"/>
      <c r="HQ41" s="261"/>
      <c r="HR41" s="261"/>
      <c r="HS41" s="261"/>
      <c r="HT41" s="261"/>
      <c r="HU41" s="261"/>
      <c r="HV41" s="261"/>
      <c r="HW41" s="261"/>
      <c r="HX41" s="261"/>
      <c r="HY41" s="261"/>
      <c r="HZ41" s="261"/>
      <c r="IA41" s="261"/>
      <c r="IB41" s="261"/>
    </row>
    <row r="42" spans="1:236" s="264" customFormat="1" ht="15.75" customHeight="1">
      <c r="A42" s="339"/>
      <c r="B42" s="335" t="s">
        <v>2780</v>
      </c>
      <c r="C42" s="331"/>
      <c r="D42" s="325" t="s">
        <v>281</v>
      </c>
      <c r="E42" s="330">
        <v>17300</v>
      </c>
      <c r="F42" s="330"/>
      <c r="G42" s="330">
        <v>16400</v>
      </c>
      <c r="H42" s="330">
        <v>16400</v>
      </c>
      <c r="I42" s="330"/>
      <c r="J42" s="330"/>
      <c r="K42" s="330"/>
      <c r="L42" s="330">
        <v>18500</v>
      </c>
      <c r="M42" s="330"/>
      <c r="N42" s="330">
        <v>19000</v>
      </c>
      <c r="O42" s="330"/>
      <c r="P42" s="263"/>
      <c r="Q42" s="261"/>
      <c r="R42" s="261"/>
      <c r="S42" s="261"/>
      <c r="T42" s="261"/>
      <c r="U42" s="261"/>
      <c r="V42" s="261"/>
      <c r="W42" s="261"/>
      <c r="X42" s="261"/>
      <c r="Y42" s="261"/>
      <c r="Z42" s="261"/>
      <c r="AA42" s="261"/>
      <c r="AB42" s="261"/>
      <c r="AC42" s="261"/>
      <c r="AD42" s="261"/>
      <c r="AE42" s="261"/>
      <c r="AF42" s="261"/>
      <c r="AG42" s="261"/>
      <c r="AH42" s="261"/>
      <c r="AI42" s="261"/>
      <c r="AJ42" s="261"/>
      <c r="AK42" s="261"/>
      <c r="AL42" s="261"/>
      <c r="AM42" s="261"/>
      <c r="AN42" s="261"/>
      <c r="AO42" s="261"/>
      <c r="AP42" s="261"/>
      <c r="AQ42" s="261"/>
      <c r="AR42" s="261"/>
      <c r="AS42" s="261"/>
      <c r="AT42" s="261"/>
      <c r="AU42" s="261"/>
      <c r="AV42" s="261"/>
      <c r="AW42" s="261"/>
      <c r="AX42" s="261"/>
      <c r="AY42" s="261"/>
      <c r="AZ42" s="261"/>
      <c r="BA42" s="261"/>
      <c r="BB42" s="261"/>
      <c r="BC42" s="261"/>
      <c r="BD42" s="261"/>
      <c r="BE42" s="261"/>
      <c r="BF42" s="261"/>
      <c r="BG42" s="261"/>
      <c r="BH42" s="261"/>
      <c r="BI42" s="261"/>
      <c r="BJ42" s="261"/>
      <c r="BK42" s="261"/>
      <c r="BL42" s="261"/>
      <c r="BM42" s="261"/>
      <c r="BN42" s="261"/>
      <c r="BO42" s="261"/>
      <c r="BP42" s="261"/>
      <c r="BQ42" s="261"/>
      <c r="BR42" s="261"/>
      <c r="BS42" s="261"/>
      <c r="BT42" s="261"/>
      <c r="BU42" s="261"/>
      <c r="BV42" s="261"/>
      <c r="BW42" s="261"/>
      <c r="BX42" s="261"/>
      <c r="BY42" s="261"/>
      <c r="BZ42" s="261"/>
      <c r="CA42" s="261"/>
      <c r="CB42" s="261"/>
      <c r="CC42" s="261"/>
      <c r="CD42" s="261"/>
      <c r="CE42" s="261"/>
      <c r="CF42" s="261"/>
      <c r="CG42" s="261"/>
      <c r="CH42" s="261"/>
      <c r="CI42" s="261"/>
      <c r="CJ42" s="261"/>
      <c r="CK42" s="261"/>
      <c r="CL42" s="261"/>
      <c r="CM42" s="261"/>
      <c r="CN42" s="261"/>
      <c r="CO42" s="261"/>
      <c r="CP42" s="261"/>
      <c r="CQ42" s="261"/>
      <c r="CR42" s="261"/>
      <c r="CS42" s="261"/>
      <c r="CT42" s="261"/>
      <c r="CU42" s="261"/>
      <c r="CV42" s="261"/>
      <c r="CW42" s="261"/>
      <c r="CX42" s="261"/>
      <c r="CY42" s="261"/>
      <c r="CZ42" s="261"/>
      <c r="DA42" s="261"/>
      <c r="DB42" s="261"/>
      <c r="DC42" s="261"/>
      <c r="DD42" s="261"/>
      <c r="DE42" s="261"/>
      <c r="DF42" s="261"/>
      <c r="DG42" s="261"/>
      <c r="DH42" s="261"/>
      <c r="DI42" s="261"/>
      <c r="DJ42" s="261"/>
      <c r="DK42" s="261"/>
      <c r="DL42" s="261"/>
      <c r="DM42" s="261"/>
      <c r="DN42" s="261"/>
      <c r="DO42" s="261"/>
      <c r="DP42" s="261"/>
      <c r="DQ42" s="261"/>
      <c r="DR42" s="261"/>
      <c r="DS42" s="261"/>
      <c r="DT42" s="261"/>
      <c r="DU42" s="261"/>
      <c r="DV42" s="261"/>
      <c r="DW42" s="261"/>
      <c r="DX42" s="261"/>
      <c r="DY42" s="261"/>
      <c r="DZ42" s="261"/>
      <c r="EA42" s="261"/>
      <c r="EB42" s="261"/>
      <c r="EC42" s="261"/>
      <c r="ED42" s="261"/>
      <c r="EE42" s="261"/>
      <c r="EF42" s="261"/>
      <c r="EG42" s="261"/>
      <c r="EH42" s="261"/>
      <c r="EI42" s="261"/>
      <c r="EJ42" s="261"/>
      <c r="EK42" s="261"/>
      <c r="EL42" s="261"/>
      <c r="EM42" s="261"/>
      <c r="EN42" s="261"/>
      <c r="EO42" s="261"/>
      <c r="EP42" s="261"/>
      <c r="EQ42" s="261"/>
      <c r="ER42" s="261"/>
      <c r="ES42" s="261"/>
      <c r="ET42" s="261"/>
      <c r="EU42" s="261"/>
      <c r="EV42" s="261"/>
      <c r="EW42" s="261"/>
      <c r="EX42" s="261"/>
      <c r="EY42" s="261"/>
      <c r="EZ42" s="261"/>
      <c r="FA42" s="261"/>
      <c r="FB42" s="261"/>
      <c r="FC42" s="261"/>
      <c r="FD42" s="261"/>
      <c r="FE42" s="261"/>
      <c r="FF42" s="261"/>
      <c r="FG42" s="261"/>
      <c r="FH42" s="261"/>
      <c r="FI42" s="261"/>
      <c r="FJ42" s="261"/>
      <c r="FK42" s="261"/>
      <c r="FL42" s="261"/>
      <c r="FM42" s="261"/>
      <c r="FN42" s="261"/>
      <c r="FO42" s="261"/>
      <c r="FP42" s="261"/>
      <c r="FQ42" s="261"/>
      <c r="FR42" s="261"/>
      <c r="FS42" s="261"/>
      <c r="FT42" s="261"/>
      <c r="FU42" s="261"/>
      <c r="FV42" s="261"/>
      <c r="FW42" s="261"/>
      <c r="FX42" s="261"/>
      <c r="FY42" s="261"/>
      <c r="FZ42" s="261"/>
      <c r="GA42" s="261"/>
      <c r="GB42" s="261"/>
      <c r="GC42" s="261"/>
      <c r="GD42" s="261"/>
      <c r="GE42" s="261"/>
      <c r="GF42" s="261"/>
      <c r="GG42" s="261"/>
      <c r="GH42" s="261"/>
      <c r="GI42" s="261"/>
      <c r="GJ42" s="261"/>
      <c r="GK42" s="261"/>
      <c r="GL42" s="261"/>
      <c r="GM42" s="261"/>
      <c r="GN42" s="261"/>
      <c r="GO42" s="261"/>
      <c r="GP42" s="261"/>
      <c r="GQ42" s="261"/>
      <c r="GR42" s="261"/>
      <c r="GS42" s="261"/>
      <c r="GT42" s="261"/>
      <c r="GU42" s="261"/>
      <c r="GV42" s="261"/>
      <c r="GW42" s="261"/>
      <c r="GX42" s="261"/>
      <c r="GY42" s="261"/>
      <c r="GZ42" s="261"/>
      <c r="HA42" s="261"/>
      <c r="HB42" s="261"/>
      <c r="HC42" s="261"/>
      <c r="HD42" s="261"/>
      <c r="HE42" s="261"/>
      <c r="HF42" s="261"/>
      <c r="HG42" s="261"/>
      <c r="HH42" s="261"/>
      <c r="HI42" s="261"/>
      <c r="HJ42" s="261"/>
      <c r="HK42" s="261"/>
      <c r="HL42" s="261"/>
      <c r="HM42" s="261"/>
      <c r="HN42" s="261"/>
      <c r="HO42" s="261"/>
      <c r="HP42" s="261"/>
      <c r="HQ42" s="261"/>
      <c r="HR42" s="261"/>
      <c r="HS42" s="261"/>
      <c r="HT42" s="261"/>
      <c r="HU42" s="261"/>
      <c r="HV42" s="261"/>
      <c r="HW42" s="261"/>
      <c r="HX42" s="261"/>
      <c r="HY42" s="261"/>
      <c r="HZ42" s="261"/>
      <c r="IA42" s="261"/>
      <c r="IB42" s="261"/>
    </row>
    <row r="43" spans="1:236" s="264" customFormat="1" ht="30.75" customHeight="1">
      <c r="A43" s="337" t="s">
        <v>380</v>
      </c>
      <c r="B43" s="345" t="s">
        <v>2781</v>
      </c>
      <c r="C43" s="331"/>
      <c r="D43" s="325"/>
      <c r="E43" s="330"/>
      <c r="F43" s="330"/>
      <c r="G43" s="330"/>
      <c r="H43" s="330"/>
      <c r="I43" s="330"/>
      <c r="J43" s="330"/>
      <c r="K43" s="330"/>
      <c r="L43" s="330"/>
      <c r="M43" s="330"/>
      <c r="N43" s="330"/>
      <c r="O43" s="330"/>
      <c r="P43" s="263"/>
      <c r="Q43" s="261"/>
      <c r="R43" s="261"/>
      <c r="S43" s="261"/>
      <c r="T43" s="261"/>
      <c r="U43" s="261"/>
      <c r="V43" s="261"/>
      <c r="W43" s="261"/>
      <c r="X43" s="261"/>
      <c r="Y43" s="261"/>
      <c r="Z43" s="261"/>
      <c r="AA43" s="261"/>
      <c r="AB43" s="261"/>
      <c r="AC43" s="261"/>
      <c r="AD43" s="261"/>
      <c r="AE43" s="261"/>
      <c r="AF43" s="261"/>
      <c r="AG43" s="261"/>
      <c r="AH43" s="261"/>
      <c r="AI43" s="261"/>
      <c r="AJ43" s="261"/>
      <c r="AK43" s="261"/>
      <c r="AL43" s="261"/>
      <c r="AM43" s="261"/>
      <c r="AN43" s="261"/>
      <c r="AO43" s="261"/>
      <c r="AP43" s="261"/>
      <c r="AQ43" s="261"/>
      <c r="AR43" s="261"/>
      <c r="AS43" s="261"/>
      <c r="AT43" s="261"/>
      <c r="AU43" s="261"/>
      <c r="AV43" s="261"/>
      <c r="AW43" s="261"/>
      <c r="AX43" s="261"/>
      <c r="AY43" s="261"/>
      <c r="AZ43" s="261"/>
      <c r="BA43" s="261"/>
      <c r="BB43" s="261"/>
      <c r="BC43" s="261"/>
      <c r="BD43" s="261"/>
      <c r="BE43" s="261"/>
      <c r="BF43" s="261"/>
      <c r="BG43" s="261"/>
      <c r="BH43" s="261"/>
      <c r="BI43" s="261"/>
      <c r="BJ43" s="261"/>
      <c r="BK43" s="261"/>
      <c r="BL43" s="261"/>
      <c r="BM43" s="261"/>
      <c r="BN43" s="261"/>
      <c r="BO43" s="261"/>
      <c r="BP43" s="261"/>
      <c r="BQ43" s="261"/>
      <c r="BR43" s="261"/>
      <c r="BS43" s="261"/>
      <c r="BT43" s="261"/>
      <c r="BU43" s="261"/>
      <c r="BV43" s="261"/>
      <c r="BW43" s="261"/>
      <c r="BX43" s="261"/>
      <c r="BY43" s="261"/>
      <c r="BZ43" s="261"/>
      <c r="CA43" s="261"/>
      <c r="CB43" s="261"/>
      <c r="CC43" s="261"/>
      <c r="CD43" s="261"/>
      <c r="CE43" s="261"/>
      <c r="CF43" s="261"/>
      <c r="CG43" s="261"/>
      <c r="CH43" s="261"/>
      <c r="CI43" s="261"/>
      <c r="CJ43" s="261"/>
      <c r="CK43" s="261"/>
      <c r="CL43" s="261"/>
      <c r="CM43" s="261"/>
      <c r="CN43" s="261"/>
      <c r="CO43" s="261"/>
      <c r="CP43" s="261"/>
      <c r="CQ43" s="261"/>
      <c r="CR43" s="261"/>
      <c r="CS43" s="261"/>
      <c r="CT43" s="261"/>
      <c r="CU43" s="261"/>
      <c r="CV43" s="261"/>
      <c r="CW43" s="261"/>
      <c r="CX43" s="261"/>
      <c r="CY43" s="261"/>
      <c r="CZ43" s="261"/>
      <c r="DA43" s="261"/>
      <c r="DB43" s="261"/>
      <c r="DC43" s="261"/>
      <c r="DD43" s="261"/>
      <c r="DE43" s="261"/>
      <c r="DF43" s="261"/>
      <c r="DG43" s="261"/>
      <c r="DH43" s="261"/>
      <c r="DI43" s="261"/>
      <c r="DJ43" s="261"/>
      <c r="DK43" s="261"/>
      <c r="DL43" s="261"/>
      <c r="DM43" s="261"/>
      <c r="DN43" s="261"/>
      <c r="DO43" s="261"/>
      <c r="DP43" s="261"/>
      <c r="DQ43" s="261"/>
      <c r="DR43" s="261"/>
      <c r="DS43" s="261"/>
      <c r="DT43" s="261"/>
      <c r="DU43" s="261"/>
      <c r="DV43" s="261"/>
      <c r="DW43" s="261"/>
      <c r="DX43" s="261"/>
      <c r="DY43" s="261"/>
      <c r="DZ43" s="261"/>
      <c r="EA43" s="261"/>
      <c r="EB43" s="261"/>
      <c r="EC43" s="261"/>
      <c r="ED43" s="261"/>
      <c r="EE43" s="261"/>
      <c r="EF43" s="261"/>
      <c r="EG43" s="261"/>
      <c r="EH43" s="261"/>
      <c r="EI43" s="261"/>
      <c r="EJ43" s="261"/>
      <c r="EK43" s="261"/>
      <c r="EL43" s="261"/>
      <c r="EM43" s="261"/>
      <c r="EN43" s="261"/>
      <c r="EO43" s="261"/>
      <c r="EP43" s="261"/>
      <c r="EQ43" s="261"/>
      <c r="ER43" s="261"/>
      <c r="ES43" s="261"/>
      <c r="ET43" s="261"/>
      <c r="EU43" s="261"/>
      <c r="EV43" s="261"/>
      <c r="EW43" s="261"/>
      <c r="EX43" s="261"/>
      <c r="EY43" s="261"/>
      <c r="EZ43" s="261"/>
      <c r="FA43" s="261"/>
      <c r="FB43" s="261"/>
      <c r="FC43" s="261"/>
      <c r="FD43" s="261"/>
      <c r="FE43" s="261"/>
      <c r="FF43" s="261"/>
      <c r="FG43" s="261"/>
      <c r="FH43" s="261"/>
      <c r="FI43" s="261"/>
      <c r="FJ43" s="261"/>
      <c r="FK43" s="261"/>
      <c r="FL43" s="261"/>
      <c r="FM43" s="261"/>
      <c r="FN43" s="261"/>
      <c r="FO43" s="261"/>
      <c r="FP43" s="261"/>
      <c r="FQ43" s="261"/>
      <c r="FR43" s="261"/>
      <c r="FS43" s="261"/>
      <c r="FT43" s="261"/>
      <c r="FU43" s="261"/>
      <c r="FV43" s="261"/>
      <c r="FW43" s="261"/>
      <c r="FX43" s="261"/>
      <c r="FY43" s="261"/>
      <c r="FZ43" s="261"/>
      <c r="GA43" s="261"/>
      <c r="GB43" s="261"/>
      <c r="GC43" s="261"/>
      <c r="GD43" s="261"/>
      <c r="GE43" s="261"/>
      <c r="GF43" s="261"/>
      <c r="GG43" s="261"/>
      <c r="GH43" s="261"/>
      <c r="GI43" s="261"/>
      <c r="GJ43" s="261"/>
      <c r="GK43" s="261"/>
      <c r="GL43" s="261"/>
      <c r="GM43" s="261"/>
      <c r="GN43" s="261"/>
      <c r="GO43" s="261"/>
      <c r="GP43" s="261"/>
      <c r="GQ43" s="261"/>
      <c r="GR43" s="261"/>
      <c r="GS43" s="261"/>
      <c r="GT43" s="261"/>
      <c r="GU43" s="261"/>
      <c r="GV43" s="261"/>
      <c r="GW43" s="261"/>
      <c r="GX43" s="261"/>
      <c r="GY43" s="261"/>
      <c r="GZ43" s="261"/>
      <c r="HA43" s="261"/>
      <c r="HB43" s="261"/>
      <c r="HC43" s="261"/>
      <c r="HD43" s="261"/>
      <c r="HE43" s="261"/>
      <c r="HF43" s="261"/>
      <c r="HG43" s="261"/>
      <c r="HH43" s="261"/>
      <c r="HI43" s="261"/>
      <c r="HJ43" s="261"/>
      <c r="HK43" s="261"/>
      <c r="HL43" s="261"/>
      <c r="HM43" s="261"/>
      <c r="HN43" s="261"/>
      <c r="HO43" s="261"/>
      <c r="HP43" s="261"/>
      <c r="HQ43" s="261"/>
      <c r="HR43" s="261"/>
      <c r="HS43" s="261"/>
      <c r="HT43" s="261"/>
      <c r="HU43" s="261"/>
      <c r="HV43" s="261"/>
      <c r="HW43" s="261"/>
      <c r="HX43" s="261"/>
      <c r="HY43" s="261"/>
      <c r="HZ43" s="261"/>
      <c r="IA43" s="261"/>
      <c r="IB43" s="261"/>
    </row>
    <row r="44" spans="1:236" s="264" customFormat="1" ht="15.75" customHeight="1">
      <c r="A44" s="339"/>
      <c r="B44" s="346" t="s">
        <v>2782</v>
      </c>
      <c r="C44" s="331"/>
      <c r="D44" s="325"/>
      <c r="E44" s="330"/>
      <c r="F44" s="330"/>
      <c r="G44" s="330"/>
      <c r="H44" s="330"/>
      <c r="I44" s="330"/>
      <c r="J44" s="330"/>
      <c r="K44" s="330"/>
      <c r="L44" s="330"/>
      <c r="M44" s="330"/>
      <c r="N44" s="330"/>
      <c r="O44" s="330"/>
      <c r="P44" s="263"/>
      <c r="Q44" s="261"/>
      <c r="R44" s="261"/>
      <c r="S44" s="261"/>
      <c r="T44" s="261"/>
      <c r="U44" s="261"/>
      <c r="V44" s="261"/>
      <c r="W44" s="261"/>
      <c r="X44" s="261"/>
      <c r="Y44" s="261"/>
      <c r="Z44" s="261"/>
      <c r="AA44" s="261"/>
      <c r="AB44" s="261"/>
      <c r="AC44" s="261"/>
      <c r="AD44" s="261"/>
      <c r="AE44" s="261"/>
      <c r="AF44" s="261"/>
      <c r="AG44" s="261"/>
      <c r="AH44" s="261"/>
      <c r="AI44" s="261"/>
      <c r="AJ44" s="261"/>
      <c r="AK44" s="261"/>
      <c r="AL44" s="261"/>
      <c r="AM44" s="261"/>
      <c r="AN44" s="261"/>
      <c r="AO44" s="261"/>
      <c r="AP44" s="261"/>
      <c r="AQ44" s="261"/>
      <c r="AR44" s="261"/>
      <c r="AS44" s="261"/>
      <c r="AT44" s="261"/>
      <c r="AU44" s="261"/>
      <c r="AV44" s="261"/>
      <c r="AW44" s="261"/>
      <c r="AX44" s="261"/>
      <c r="AY44" s="261"/>
      <c r="AZ44" s="261"/>
      <c r="BA44" s="261"/>
      <c r="BB44" s="261"/>
      <c r="BC44" s="261"/>
      <c r="BD44" s="261"/>
      <c r="BE44" s="261"/>
      <c r="BF44" s="261"/>
      <c r="BG44" s="261"/>
      <c r="BH44" s="261"/>
      <c r="BI44" s="261"/>
      <c r="BJ44" s="261"/>
      <c r="BK44" s="261"/>
      <c r="BL44" s="261"/>
      <c r="BM44" s="261"/>
      <c r="BN44" s="261"/>
      <c r="BO44" s="261"/>
      <c r="BP44" s="261"/>
      <c r="BQ44" s="261"/>
      <c r="BR44" s="261"/>
      <c r="BS44" s="261"/>
      <c r="BT44" s="261"/>
      <c r="BU44" s="261"/>
      <c r="BV44" s="261"/>
      <c r="BW44" s="261"/>
      <c r="BX44" s="261"/>
      <c r="BY44" s="261"/>
      <c r="BZ44" s="261"/>
      <c r="CA44" s="261"/>
      <c r="CB44" s="261"/>
      <c r="CC44" s="261"/>
      <c r="CD44" s="261"/>
      <c r="CE44" s="261"/>
      <c r="CF44" s="261"/>
      <c r="CG44" s="261"/>
      <c r="CH44" s="261"/>
      <c r="CI44" s="261"/>
      <c r="CJ44" s="261"/>
      <c r="CK44" s="261"/>
      <c r="CL44" s="261"/>
      <c r="CM44" s="261"/>
      <c r="CN44" s="261"/>
      <c r="CO44" s="261"/>
      <c r="CP44" s="261"/>
      <c r="CQ44" s="261"/>
      <c r="CR44" s="261"/>
      <c r="CS44" s="261"/>
      <c r="CT44" s="261"/>
      <c r="CU44" s="261"/>
      <c r="CV44" s="261"/>
      <c r="CW44" s="261"/>
      <c r="CX44" s="261"/>
      <c r="CY44" s="261"/>
      <c r="CZ44" s="261"/>
      <c r="DA44" s="261"/>
      <c r="DB44" s="261"/>
      <c r="DC44" s="261"/>
      <c r="DD44" s="261"/>
      <c r="DE44" s="261"/>
      <c r="DF44" s="261"/>
      <c r="DG44" s="261"/>
      <c r="DH44" s="261"/>
      <c r="DI44" s="261"/>
      <c r="DJ44" s="261"/>
      <c r="DK44" s="261"/>
      <c r="DL44" s="261"/>
      <c r="DM44" s="261"/>
      <c r="DN44" s="261"/>
      <c r="DO44" s="261"/>
      <c r="DP44" s="261"/>
      <c r="DQ44" s="261"/>
      <c r="DR44" s="261"/>
      <c r="DS44" s="261"/>
      <c r="DT44" s="261"/>
      <c r="DU44" s="261"/>
      <c r="DV44" s="261"/>
      <c r="DW44" s="261"/>
      <c r="DX44" s="261"/>
      <c r="DY44" s="261"/>
      <c r="DZ44" s="261"/>
      <c r="EA44" s="261"/>
      <c r="EB44" s="261"/>
      <c r="EC44" s="261"/>
      <c r="ED44" s="261"/>
      <c r="EE44" s="261"/>
      <c r="EF44" s="261"/>
      <c r="EG44" s="261"/>
      <c r="EH44" s="261"/>
      <c r="EI44" s="261"/>
      <c r="EJ44" s="261"/>
      <c r="EK44" s="261"/>
      <c r="EL44" s="261"/>
      <c r="EM44" s="261"/>
      <c r="EN44" s="261"/>
      <c r="EO44" s="261"/>
      <c r="EP44" s="261"/>
      <c r="EQ44" s="261"/>
      <c r="ER44" s="261"/>
      <c r="ES44" s="261"/>
      <c r="ET44" s="261"/>
      <c r="EU44" s="261"/>
      <c r="EV44" s="261"/>
      <c r="EW44" s="261"/>
      <c r="EX44" s="261"/>
      <c r="EY44" s="261"/>
      <c r="EZ44" s="261"/>
      <c r="FA44" s="261"/>
      <c r="FB44" s="261"/>
      <c r="FC44" s="261"/>
      <c r="FD44" s="261"/>
      <c r="FE44" s="261"/>
      <c r="FF44" s="261"/>
      <c r="FG44" s="261"/>
      <c r="FH44" s="261"/>
      <c r="FI44" s="261"/>
      <c r="FJ44" s="261"/>
      <c r="FK44" s="261"/>
      <c r="FL44" s="261"/>
      <c r="FM44" s="261"/>
      <c r="FN44" s="261"/>
      <c r="FO44" s="261"/>
      <c r="FP44" s="261"/>
      <c r="FQ44" s="261"/>
      <c r="FR44" s="261"/>
      <c r="FS44" s="261"/>
      <c r="FT44" s="261"/>
      <c r="FU44" s="261"/>
      <c r="FV44" s="261"/>
      <c r="FW44" s="261"/>
      <c r="FX44" s="261"/>
      <c r="FY44" s="261"/>
      <c r="FZ44" s="261"/>
      <c r="GA44" s="261"/>
      <c r="GB44" s="261"/>
      <c r="GC44" s="261"/>
      <c r="GD44" s="261"/>
      <c r="GE44" s="261"/>
      <c r="GF44" s="261"/>
      <c r="GG44" s="261"/>
      <c r="GH44" s="261"/>
      <c r="GI44" s="261"/>
      <c r="GJ44" s="261"/>
      <c r="GK44" s="261"/>
      <c r="GL44" s="261"/>
      <c r="GM44" s="261"/>
      <c r="GN44" s="261"/>
      <c r="GO44" s="261"/>
      <c r="GP44" s="261"/>
      <c r="GQ44" s="261"/>
      <c r="GR44" s="261"/>
      <c r="GS44" s="261"/>
      <c r="GT44" s="261"/>
      <c r="GU44" s="261"/>
      <c r="GV44" s="261"/>
      <c r="GW44" s="261"/>
      <c r="GX44" s="261"/>
      <c r="GY44" s="261"/>
      <c r="GZ44" s="261"/>
      <c r="HA44" s="261"/>
      <c r="HB44" s="261"/>
      <c r="HC44" s="261"/>
      <c r="HD44" s="261"/>
      <c r="HE44" s="261"/>
      <c r="HF44" s="261"/>
      <c r="HG44" s="261"/>
      <c r="HH44" s="261"/>
      <c r="HI44" s="261"/>
      <c r="HJ44" s="261"/>
      <c r="HK44" s="261"/>
      <c r="HL44" s="261"/>
      <c r="HM44" s="261"/>
      <c r="HN44" s="261"/>
      <c r="HO44" s="261"/>
      <c r="HP44" s="261"/>
      <c r="HQ44" s="261"/>
      <c r="HR44" s="261"/>
      <c r="HS44" s="261"/>
      <c r="HT44" s="261"/>
      <c r="HU44" s="261"/>
      <c r="HV44" s="261"/>
      <c r="HW44" s="261"/>
      <c r="HX44" s="261"/>
      <c r="HY44" s="261"/>
      <c r="HZ44" s="261"/>
      <c r="IA44" s="261"/>
      <c r="IB44" s="261"/>
    </row>
    <row r="45" spans="1:236" s="264" customFormat="1" ht="15.75" customHeight="1">
      <c r="A45" s="339"/>
      <c r="B45" s="335" t="s">
        <v>2783</v>
      </c>
      <c r="C45" s="331" t="s">
        <v>2773</v>
      </c>
      <c r="D45" s="325" t="s">
        <v>595</v>
      </c>
      <c r="E45" s="330">
        <v>17300</v>
      </c>
      <c r="F45" s="330">
        <v>17500</v>
      </c>
      <c r="G45" s="330">
        <v>16400</v>
      </c>
      <c r="H45" s="330">
        <v>16400</v>
      </c>
      <c r="I45" s="330">
        <v>17000</v>
      </c>
      <c r="J45" s="330">
        <v>18500</v>
      </c>
      <c r="K45" s="330">
        <v>17000</v>
      </c>
      <c r="L45" s="330">
        <v>18500</v>
      </c>
      <c r="M45" s="330">
        <v>19000</v>
      </c>
      <c r="N45" s="330">
        <v>19000</v>
      </c>
      <c r="O45" s="330">
        <v>19000</v>
      </c>
      <c r="P45" s="263"/>
      <c r="Q45" s="261"/>
      <c r="R45" s="261"/>
      <c r="S45" s="261"/>
      <c r="T45" s="261"/>
      <c r="U45" s="261"/>
      <c r="V45" s="261"/>
      <c r="W45" s="261"/>
      <c r="X45" s="261"/>
      <c r="Y45" s="261"/>
      <c r="Z45" s="261"/>
      <c r="AA45" s="261"/>
      <c r="AB45" s="261"/>
      <c r="AC45" s="261"/>
      <c r="AD45" s="261"/>
      <c r="AE45" s="261"/>
      <c r="AF45" s="261"/>
      <c r="AG45" s="261"/>
      <c r="AH45" s="261"/>
      <c r="AI45" s="261"/>
      <c r="AJ45" s="261"/>
      <c r="AK45" s="261"/>
      <c r="AL45" s="261"/>
      <c r="AM45" s="261"/>
      <c r="AN45" s="261"/>
      <c r="AO45" s="261"/>
      <c r="AP45" s="261"/>
      <c r="AQ45" s="261"/>
      <c r="AR45" s="261"/>
      <c r="AS45" s="261"/>
      <c r="AT45" s="261"/>
      <c r="AU45" s="261"/>
      <c r="AV45" s="261"/>
      <c r="AW45" s="261"/>
      <c r="AX45" s="261"/>
      <c r="AY45" s="261"/>
      <c r="AZ45" s="261"/>
      <c r="BA45" s="261"/>
      <c r="BB45" s="261"/>
      <c r="BC45" s="261"/>
      <c r="BD45" s="261"/>
      <c r="BE45" s="261"/>
      <c r="BF45" s="261"/>
      <c r="BG45" s="261"/>
      <c r="BH45" s="261"/>
      <c r="BI45" s="261"/>
      <c r="BJ45" s="261"/>
      <c r="BK45" s="261"/>
      <c r="BL45" s="261"/>
      <c r="BM45" s="261"/>
      <c r="BN45" s="261"/>
      <c r="BO45" s="261"/>
      <c r="BP45" s="261"/>
      <c r="BQ45" s="261"/>
      <c r="BR45" s="261"/>
      <c r="BS45" s="261"/>
      <c r="BT45" s="261"/>
      <c r="BU45" s="261"/>
      <c r="BV45" s="261"/>
      <c r="BW45" s="261"/>
      <c r="BX45" s="261"/>
      <c r="BY45" s="261"/>
      <c r="BZ45" s="261"/>
      <c r="CA45" s="261"/>
      <c r="CB45" s="261"/>
      <c r="CC45" s="261"/>
      <c r="CD45" s="261"/>
      <c r="CE45" s="261"/>
      <c r="CF45" s="261"/>
      <c r="CG45" s="261"/>
      <c r="CH45" s="261"/>
      <c r="CI45" s="261"/>
      <c r="CJ45" s="261"/>
      <c r="CK45" s="261"/>
      <c r="CL45" s="261"/>
      <c r="CM45" s="261"/>
      <c r="CN45" s="261"/>
      <c r="CO45" s="261"/>
      <c r="CP45" s="261"/>
      <c r="CQ45" s="261"/>
      <c r="CR45" s="261"/>
      <c r="CS45" s="261"/>
      <c r="CT45" s="261"/>
      <c r="CU45" s="261"/>
      <c r="CV45" s="261"/>
      <c r="CW45" s="261"/>
      <c r="CX45" s="261"/>
      <c r="CY45" s="261"/>
      <c r="CZ45" s="261"/>
      <c r="DA45" s="261"/>
      <c r="DB45" s="261"/>
      <c r="DC45" s="261"/>
      <c r="DD45" s="261"/>
      <c r="DE45" s="261"/>
      <c r="DF45" s="261"/>
      <c r="DG45" s="261"/>
      <c r="DH45" s="261"/>
      <c r="DI45" s="261"/>
      <c r="DJ45" s="261"/>
      <c r="DK45" s="261"/>
      <c r="DL45" s="261"/>
      <c r="DM45" s="261"/>
      <c r="DN45" s="261"/>
      <c r="DO45" s="261"/>
      <c r="DP45" s="261"/>
      <c r="DQ45" s="261"/>
      <c r="DR45" s="261"/>
      <c r="DS45" s="261"/>
      <c r="DT45" s="261"/>
      <c r="DU45" s="261"/>
      <c r="DV45" s="261"/>
      <c r="DW45" s="261"/>
      <c r="DX45" s="261"/>
      <c r="DY45" s="261"/>
      <c r="DZ45" s="261"/>
      <c r="EA45" s="261"/>
      <c r="EB45" s="261"/>
      <c r="EC45" s="261"/>
      <c r="ED45" s="261"/>
      <c r="EE45" s="261"/>
      <c r="EF45" s="261"/>
      <c r="EG45" s="261"/>
      <c r="EH45" s="261"/>
      <c r="EI45" s="261"/>
      <c r="EJ45" s="261"/>
      <c r="EK45" s="261"/>
      <c r="EL45" s="261"/>
      <c r="EM45" s="261"/>
      <c r="EN45" s="261"/>
      <c r="EO45" s="261"/>
      <c r="EP45" s="261"/>
      <c r="EQ45" s="261"/>
      <c r="ER45" s="261"/>
      <c r="ES45" s="261"/>
      <c r="ET45" s="261"/>
      <c r="EU45" s="261"/>
      <c r="EV45" s="261"/>
      <c r="EW45" s="261"/>
      <c r="EX45" s="261"/>
      <c r="EY45" s="261"/>
      <c r="EZ45" s="261"/>
      <c r="FA45" s="261"/>
      <c r="FB45" s="261"/>
      <c r="FC45" s="261"/>
      <c r="FD45" s="261"/>
      <c r="FE45" s="261"/>
      <c r="FF45" s="261"/>
      <c r="FG45" s="261"/>
      <c r="FH45" s="261"/>
      <c r="FI45" s="261"/>
      <c r="FJ45" s="261"/>
      <c r="FK45" s="261"/>
      <c r="FL45" s="261"/>
      <c r="FM45" s="261"/>
      <c r="FN45" s="261"/>
      <c r="FO45" s="261"/>
      <c r="FP45" s="261"/>
      <c r="FQ45" s="261"/>
      <c r="FR45" s="261"/>
      <c r="FS45" s="261"/>
      <c r="FT45" s="261"/>
      <c r="FU45" s="261"/>
      <c r="FV45" s="261"/>
      <c r="FW45" s="261"/>
      <c r="FX45" s="261"/>
      <c r="FY45" s="261"/>
      <c r="FZ45" s="261"/>
      <c r="GA45" s="261"/>
      <c r="GB45" s="261"/>
      <c r="GC45" s="261"/>
      <c r="GD45" s="261"/>
      <c r="GE45" s="261"/>
      <c r="GF45" s="261"/>
      <c r="GG45" s="261"/>
      <c r="GH45" s="261"/>
      <c r="GI45" s="261"/>
      <c r="GJ45" s="261"/>
      <c r="GK45" s="261"/>
      <c r="GL45" s="261"/>
      <c r="GM45" s="261"/>
      <c r="GN45" s="261"/>
      <c r="GO45" s="261"/>
      <c r="GP45" s="261"/>
      <c r="GQ45" s="261"/>
      <c r="GR45" s="261"/>
      <c r="GS45" s="261"/>
      <c r="GT45" s="261"/>
      <c r="GU45" s="261"/>
      <c r="GV45" s="261"/>
      <c r="GW45" s="261"/>
      <c r="GX45" s="261"/>
      <c r="GY45" s="261"/>
      <c r="GZ45" s="261"/>
      <c r="HA45" s="261"/>
      <c r="HB45" s="261"/>
      <c r="HC45" s="261"/>
      <c r="HD45" s="261"/>
      <c r="HE45" s="261"/>
      <c r="HF45" s="261"/>
      <c r="HG45" s="261"/>
      <c r="HH45" s="261"/>
      <c r="HI45" s="261"/>
      <c r="HJ45" s="261"/>
      <c r="HK45" s="261"/>
      <c r="HL45" s="261"/>
      <c r="HM45" s="261"/>
      <c r="HN45" s="261"/>
      <c r="HO45" s="261"/>
      <c r="HP45" s="261"/>
      <c r="HQ45" s="261"/>
      <c r="HR45" s="261"/>
      <c r="HS45" s="261"/>
      <c r="HT45" s="261"/>
      <c r="HU45" s="261"/>
      <c r="HV45" s="261"/>
      <c r="HW45" s="261"/>
      <c r="HX45" s="261"/>
      <c r="HY45" s="261"/>
      <c r="HZ45" s="261"/>
      <c r="IA45" s="261"/>
      <c r="IB45" s="261"/>
    </row>
    <row r="46" spans="1:236" s="264" customFormat="1" ht="15.75" customHeight="1">
      <c r="A46" s="339"/>
      <c r="B46" s="335" t="s">
        <v>2784</v>
      </c>
      <c r="C46" s="331"/>
      <c r="D46" s="325" t="s">
        <v>281</v>
      </c>
      <c r="E46" s="330">
        <v>17300</v>
      </c>
      <c r="F46" s="330">
        <v>17500</v>
      </c>
      <c r="G46" s="330">
        <v>16400</v>
      </c>
      <c r="H46" s="330">
        <v>16400</v>
      </c>
      <c r="I46" s="330">
        <v>17000</v>
      </c>
      <c r="J46" s="330">
        <v>18500</v>
      </c>
      <c r="K46" s="330">
        <v>17000</v>
      </c>
      <c r="L46" s="330">
        <v>18500</v>
      </c>
      <c r="M46" s="330">
        <v>19000</v>
      </c>
      <c r="N46" s="330">
        <v>19000</v>
      </c>
      <c r="O46" s="330">
        <v>19000</v>
      </c>
      <c r="P46" s="263"/>
      <c r="Q46" s="261"/>
      <c r="R46" s="261"/>
      <c r="S46" s="261"/>
      <c r="T46" s="261"/>
      <c r="U46" s="261"/>
      <c r="V46" s="261"/>
      <c r="W46" s="261"/>
      <c r="X46" s="261"/>
      <c r="Y46" s="261"/>
      <c r="Z46" s="261"/>
      <c r="AA46" s="261"/>
      <c r="AB46" s="261"/>
      <c r="AC46" s="261"/>
      <c r="AD46" s="261"/>
      <c r="AE46" s="261"/>
      <c r="AF46" s="261"/>
      <c r="AG46" s="261"/>
      <c r="AH46" s="261"/>
      <c r="AI46" s="261"/>
      <c r="AJ46" s="261"/>
      <c r="AK46" s="261"/>
      <c r="AL46" s="261"/>
      <c r="AM46" s="261"/>
      <c r="AN46" s="261"/>
      <c r="AO46" s="261"/>
      <c r="AP46" s="261"/>
      <c r="AQ46" s="261"/>
      <c r="AR46" s="261"/>
      <c r="AS46" s="261"/>
      <c r="AT46" s="261"/>
      <c r="AU46" s="261"/>
      <c r="AV46" s="261"/>
      <c r="AW46" s="261"/>
      <c r="AX46" s="261"/>
      <c r="AY46" s="261"/>
      <c r="AZ46" s="261"/>
      <c r="BA46" s="261"/>
      <c r="BB46" s="261"/>
      <c r="BC46" s="261"/>
      <c r="BD46" s="261"/>
      <c r="BE46" s="261"/>
      <c r="BF46" s="261"/>
      <c r="BG46" s="261"/>
      <c r="BH46" s="261"/>
      <c r="BI46" s="261"/>
      <c r="BJ46" s="261"/>
      <c r="BK46" s="261"/>
      <c r="BL46" s="261"/>
      <c r="BM46" s="261"/>
      <c r="BN46" s="261"/>
      <c r="BO46" s="261"/>
      <c r="BP46" s="261"/>
      <c r="BQ46" s="261"/>
      <c r="BR46" s="261"/>
      <c r="BS46" s="261"/>
      <c r="BT46" s="261"/>
      <c r="BU46" s="261"/>
      <c r="BV46" s="261"/>
      <c r="BW46" s="261"/>
      <c r="BX46" s="261"/>
      <c r="BY46" s="261"/>
      <c r="BZ46" s="261"/>
      <c r="CA46" s="261"/>
      <c r="CB46" s="261"/>
      <c r="CC46" s="261"/>
      <c r="CD46" s="261"/>
      <c r="CE46" s="261"/>
      <c r="CF46" s="261"/>
      <c r="CG46" s="261"/>
      <c r="CH46" s="261"/>
      <c r="CI46" s="261"/>
      <c r="CJ46" s="261"/>
      <c r="CK46" s="261"/>
      <c r="CL46" s="261"/>
      <c r="CM46" s="261"/>
      <c r="CN46" s="261"/>
      <c r="CO46" s="261"/>
      <c r="CP46" s="261"/>
      <c r="CQ46" s="261"/>
      <c r="CR46" s="261"/>
      <c r="CS46" s="261"/>
      <c r="CT46" s="261"/>
      <c r="CU46" s="261"/>
      <c r="CV46" s="261"/>
      <c r="CW46" s="261"/>
      <c r="CX46" s="261"/>
      <c r="CY46" s="261"/>
      <c r="CZ46" s="261"/>
      <c r="DA46" s="261"/>
      <c r="DB46" s="261"/>
      <c r="DC46" s="261"/>
      <c r="DD46" s="261"/>
      <c r="DE46" s="261"/>
      <c r="DF46" s="261"/>
      <c r="DG46" s="261"/>
      <c r="DH46" s="261"/>
      <c r="DI46" s="261"/>
      <c r="DJ46" s="261"/>
      <c r="DK46" s="261"/>
      <c r="DL46" s="261"/>
      <c r="DM46" s="261"/>
      <c r="DN46" s="261"/>
      <c r="DO46" s="261"/>
      <c r="DP46" s="261"/>
      <c r="DQ46" s="261"/>
      <c r="DR46" s="261"/>
      <c r="DS46" s="261"/>
      <c r="DT46" s="261"/>
      <c r="DU46" s="261"/>
      <c r="DV46" s="261"/>
      <c r="DW46" s="261"/>
      <c r="DX46" s="261"/>
      <c r="DY46" s="261"/>
      <c r="DZ46" s="261"/>
      <c r="EA46" s="261"/>
      <c r="EB46" s="261"/>
      <c r="EC46" s="261"/>
      <c r="ED46" s="261"/>
      <c r="EE46" s="261"/>
      <c r="EF46" s="261"/>
      <c r="EG46" s="261"/>
      <c r="EH46" s="261"/>
      <c r="EI46" s="261"/>
      <c r="EJ46" s="261"/>
      <c r="EK46" s="261"/>
      <c r="EL46" s="261"/>
      <c r="EM46" s="261"/>
      <c r="EN46" s="261"/>
      <c r="EO46" s="261"/>
      <c r="EP46" s="261"/>
      <c r="EQ46" s="261"/>
      <c r="ER46" s="261"/>
      <c r="ES46" s="261"/>
      <c r="ET46" s="261"/>
      <c r="EU46" s="261"/>
      <c r="EV46" s="261"/>
      <c r="EW46" s="261"/>
      <c r="EX46" s="261"/>
      <c r="EY46" s="261"/>
      <c r="EZ46" s="261"/>
      <c r="FA46" s="261"/>
      <c r="FB46" s="261"/>
      <c r="FC46" s="261"/>
      <c r="FD46" s="261"/>
      <c r="FE46" s="261"/>
      <c r="FF46" s="261"/>
      <c r="FG46" s="261"/>
      <c r="FH46" s="261"/>
      <c r="FI46" s="261"/>
      <c r="FJ46" s="261"/>
      <c r="FK46" s="261"/>
      <c r="FL46" s="261"/>
      <c r="FM46" s="261"/>
      <c r="FN46" s="261"/>
      <c r="FO46" s="261"/>
      <c r="FP46" s="261"/>
      <c r="FQ46" s="261"/>
      <c r="FR46" s="261"/>
      <c r="FS46" s="261"/>
      <c r="FT46" s="261"/>
      <c r="FU46" s="261"/>
      <c r="FV46" s="261"/>
      <c r="FW46" s="261"/>
      <c r="FX46" s="261"/>
      <c r="FY46" s="261"/>
      <c r="FZ46" s="261"/>
      <c r="GA46" s="261"/>
      <c r="GB46" s="261"/>
      <c r="GC46" s="261"/>
      <c r="GD46" s="261"/>
      <c r="GE46" s="261"/>
      <c r="GF46" s="261"/>
      <c r="GG46" s="261"/>
      <c r="GH46" s="261"/>
      <c r="GI46" s="261"/>
      <c r="GJ46" s="261"/>
      <c r="GK46" s="261"/>
      <c r="GL46" s="261"/>
      <c r="GM46" s="261"/>
      <c r="GN46" s="261"/>
      <c r="GO46" s="261"/>
      <c r="GP46" s="261"/>
      <c r="GQ46" s="261"/>
      <c r="GR46" s="261"/>
      <c r="GS46" s="261"/>
      <c r="GT46" s="261"/>
      <c r="GU46" s="261"/>
      <c r="GV46" s="261"/>
      <c r="GW46" s="261"/>
      <c r="GX46" s="261"/>
      <c r="GY46" s="261"/>
      <c r="GZ46" s="261"/>
      <c r="HA46" s="261"/>
      <c r="HB46" s="261"/>
      <c r="HC46" s="261"/>
      <c r="HD46" s="261"/>
      <c r="HE46" s="261"/>
      <c r="HF46" s="261"/>
      <c r="HG46" s="261"/>
      <c r="HH46" s="261"/>
      <c r="HI46" s="261"/>
      <c r="HJ46" s="261"/>
      <c r="HK46" s="261"/>
      <c r="HL46" s="261"/>
      <c r="HM46" s="261"/>
      <c r="HN46" s="261"/>
      <c r="HO46" s="261"/>
      <c r="HP46" s="261"/>
      <c r="HQ46" s="261"/>
      <c r="HR46" s="261"/>
      <c r="HS46" s="261"/>
      <c r="HT46" s="261"/>
      <c r="HU46" s="261"/>
      <c r="HV46" s="261"/>
      <c r="HW46" s="261"/>
      <c r="HX46" s="261"/>
      <c r="HY46" s="261"/>
      <c r="HZ46" s="261"/>
      <c r="IA46" s="261"/>
      <c r="IB46" s="261"/>
    </row>
    <row r="47" spans="1:236" s="264" customFormat="1" ht="15.75" customHeight="1">
      <c r="A47" s="339"/>
      <c r="B47" s="335" t="s">
        <v>2785</v>
      </c>
      <c r="C47" s="331"/>
      <c r="D47" s="325" t="s">
        <v>281</v>
      </c>
      <c r="E47" s="330">
        <v>17300</v>
      </c>
      <c r="F47" s="330">
        <v>17500</v>
      </c>
      <c r="G47" s="330">
        <v>16400</v>
      </c>
      <c r="H47" s="330">
        <v>16400</v>
      </c>
      <c r="I47" s="330">
        <v>17000</v>
      </c>
      <c r="J47" s="330">
        <v>18500</v>
      </c>
      <c r="K47" s="330">
        <v>17000</v>
      </c>
      <c r="L47" s="330">
        <v>18500</v>
      </c>
      <c r="M47" s="330">
        <v>19000</v>
      </c>
      <c r="N47" s="330">
        <v>19000</v>
      </c>
      <c r="O47" s="330">
        <v>19000</v>
      </c>
      <c r="P47" s="263"/>
      <c r="Q47" s="261"/>
      <c r="R47" s="261"/>
      <c r="S47" s="261"/>
      <c r="T47" s="261"/>
      <c r="U47" s="261"/>
      <c r="V47" s="261"/>
      <c r="W47" s="261"/>
      <c r="X47" s="261"/>
      <c r="Y47" s="261"/>
      <c r="Z47" s="261"/>
      <c r="AA47" s="261"/>
      <c r="AB47" s="261"/>
      <c r="AC47" s="261"/>
      <c r="AD47" s="261"/>
      <c r="AE47" s="261"/>
      <c r="AF47" s="261"/>
      <c r="AG47" s="261"/>
      <c r="AH47" s="261"/>
      <c r="AI47" s="261"/>
      <c r="AJ47" s="261"/>
      <c r="AK47" s="261"/>
      <c r="AL47" s="261"/>
      <c r="AM47" s="261"/>
      <c r="AN47" s="261"/>
      <c r="AO47" s="261"/>
      <c r="AP47" s="261"/>
      <c r="AQ47" s="261"/>
      <c r="AR47" s="261"/>
      <c r="AS47" s="261"/>
      <c r="AT47" s="261"/>
      <c r="AU47" s="261"/>
      <c r="AV47" s="261"/>
      <c r="AW47" s="261"/>
      <c r="AX47" s="261"/>
      <c r="AY47" s="261"/>
      <c r="AZ47" s="261"/>
      <c r="BA47" s="261"/>
      <c r="BB47" s="261"/>
      <c r="BC47" s="261"/>
      <c r="BD47" s="261"/>
      <c r="BE47" s="261"/>
      <c r="BF47" s="261"/>
      <c r="BG47" s="261"/>
      <c r="BH47" s="261"/>
      <c r="BI47" s="261"/>
      <c r="BJ47" s="261"/>
      <c r="BK47" s="261"/>
      <c r="BL47" s="261"/>
      <c r="BM47" s="261"/>
      <c r="BN47" s="261"/>
      <c r="BO47" s="261"/>
      <c r="BP47" s="261"/>
      <c r="BQ47" s="261"/>
      <c r="BR47" s="261"/>
      <c r="BS47" s="261"/>
      <c r="BT47" s="261"/>
      <c r="BU47" s="261"/>
      <c r="BV47" s="261"/>
      <c r="BW47" s="261"/>
      <c r="BX47" s="261"/>
      <c r="BY47" s="261"/>
      <c r="BZ47" s="261"/>
      <c r="CA47" s="261"/>
      <c r="CB47" s="261"/>
      <c r="CC47" s="261"/>
      <c r="CD47" s="261"/>
      <c r="CE47" s="261"/>
      <c r="CF47" s="261"/>
      <c r="CG47" s="261"/>
      <c r="CH47" s="261"/>
      <c r="CI47" s="261"/>
      <c r="CJ47" s="261"/>
      <c r="CK47" s="261"/>
      <c r="CL47" s="261"/>
      <c r="CM47" s="261"/>
      <c r="CN47" s="261"/>
      <c r="CO47" s="261"/>
      <c r="CP47" s="261"/>
      <c r="CQ47" s="261"/>
      <c r="CR47" s="261"/>
      <c r="CS47" s="261"/>
      <c r="CT47" s="261"/>
      <c r="CU47" s="261"/>
      <c r="CV47" s="261"/>
      <c r="CW47" s="261"/>
      <c r="CX47" s="261"/>
      <c r="CY47" s="261"/>
      <c r="CZ47" s="261"/>
      <c r="DA47" s="261"/>
      <c r="DB47" s="261"/>
      <c r="DC47" s="261"/>
      <c r="DD47" s="261"/>
      <c r="DE47" s="261"/>
      <c r="DF47" s="261"/>
      <c r="DG47" s="261"/>
      <c r="DH47" s="261"/>
      <c r="DI47" s="261"/>
      <c r="DJ47" s="261"/>
      <c r="DK47" s="261"/>
      <c r="DL47" s="261"/>
      <c r="DM47" s="261"/>
      <c r="DN47" s="261"/>
      <c r="DO47" s="261"/>
      <c r="DP47" s="261"/>
      <c r="DQ47" s="261"/>
      <c r="DR47" s="261"/>
      <c r="DS47" s="261"/>
      <c r="DT47" s="261"/>
      <c r="DU47" s="261"/>
      <c r="DV47" s="261"/>
      <c r="DW47" s="261"/>
      <c r="DX47" s="261"/>
      <c r="DY47" s="261"/>
      <c r="DZ47" s="261"/>
      <c r="EA47" s="261"/>
      <c r="EB47" s="261"/>
      <c r="EC47" s="261"/>
      <c r="ED47" s="261"/>
      <c r="EE47" s="261"/>
      <c r="EF47" s="261"/>
      <c r="EG47" s="261"/>
      <c r="EH47" s="261"/>
      <c r="EI47" s="261"/>
      <c r="EJ47" s="261"/>
      <c r="EK47" s="261"/>
      <c r="EL47" s="261"/>
      <c r="EM47" s="261"/>
      <c r="EN47" s="261"/>
      <c r="EO47" s="261"/>
      <c r="EP47" s="261"/>
      <c r="EQ47" s="261"/>
      <c r="ER47" s="261"/>
      <c r="ES47" s="261"/>
      <c r="ET47" s="261"/>
      <c r="EU47" s="261"/>
      <c r="EV47" s="261"/>
      <c r="EW47" s="261"/>
      <c r="EX47" s="261"/>
      <c r="EY47" s="261"/>
      <c r="EZ47" s="261"/>
      <c r="FA47" s="261"/>
      <c r="FB47" s="261"/>
      <c r="FC47" s="261"/>
      <c r="FD47" s="261"/>
      <c r="FE47" s="261"/>
      <c r="FF47" s="261"/>
      <c r="FG47" s="261"/>
      <c r="FH47" s="261"/>
      <c r="FI47" s="261"/>
      <c r="FJ47" s="261"/>
      <c r="FK47" s="261"/>
      <c r="FL47" s="261"/>
      <c r="FM47" s="261"/>
      <c r="FN47" s="261"/>
      <c r="FO47" s="261"/>
      <c r="FP47" s="261"/>
      <c r="FQ47" s="261"/>
      <c r="FR47" s="261"/>
      <c r="FS47" s="261"/>
      <c r="FT47" s="261"/>
      <c r="FU47" s="261"/>
      <c r="FV47" s="261"/>
      <c r="FW47" s="261"/>
      <c r="FX47" s="261"/>
      <c r="FY47" s="261"/>
      <c r="FZ47" s="261"/>
      <c r="GA47" s="261"/>
      <c r="GB47" s="261"/>
      <c r="GC47" s="261"/>
      <c r="GD47" s="261"/>
      <c r="GE47" s="261"/>
      <c r="GF47" s="261"/>
      <c r="GG47" s="261"/>
      <c r="GH47" s="261"/>
      <c r="GI47" s="261"/>
      <c r="GJ47" s="261"/>
      <c r="GK47" s="261"/>
      <c r="GL47" s="261"/>
      <c r="GM47" s="261"/>
      <c r="GN47" s="261"/>
      <c r="GO47" s="261"/>
      <c r="GP47" s="261"/>
      <c r="GQ47" s="261"/>
      <c r="GR47" s="261"/>
      <c r="GS47" s="261"/>
      <c r="GT47" s="261"/>
      <c r="GU47" s="261"/>
      <c r="GV47" s="261"/>
      <c r="GW47" s="261"/>
      <c r="GX47" s="261"/>
      <c r="GY47" s="261"/>
      <c r="GZ47" s="261"/>
      <c r="HA47" s="261"/>
      <c r="HB47" s="261"/>
      <c r="HC47" s="261"/>
      <c r="HD47" s="261"/>
      <c r="HE47" s="261"/>
      <c r="HF47" s="261"/>
      <c r="HG47" s="261"/>
      <c r="HH47" s="261"/>
      <c r="HI47" s="261"/>
      <c r="HJ47" s="261"/>
      <c r="HK47" s="261"/>
      <c r="HL47" s="261"/>
      <c r="HM47" s="261"/>
      <c r="HN47" s="261"/>
      <c r="HO47" s="261"/>
      <c r="HP47" s="261"/>
      <c r="HQ47" s="261"/>
      <c r="HR47" s="261"/>
      <c r="HS47" s="261"/>
      <c r="HT47" s="261"/>
      <c r="HU47" s="261"/>
      <c r="HV47" s="261"/>
      <c r="HW47" s="261"/>
      <c r="HX47" s="261"/>
      <c r="HY47" s="261"/>
      <c r="HZ47" s="261"/>
      <c r="IA47" s="261"/>
      <c r="IB47" s="261"/>
    </row>
    <row r="48" spans="1:236" s="264" customFormat="1" ht="15.75" customHeight="1">
      <c r="A48" s="339"/>
      <c r="B48" s="346" t="s">
        <v>2786</v>
      </c>
      <c r="C48" s="331"/>
      <c r="D48" s="325"/>
      <c r="E48" s="330"/>
      <c r="F48" s="330"/>
      <c r="G48" s="330"/>
      <c r="H48" s="330"/>
      <c r="I48" s="330"/>
      <c r="J48" s="330"/>
      <c r="K48" s="330"/>
      <c r="L48" s="330"/>
      <c r="M48" s="330"/>
      <c r="N48" s="330"/>
      <c r="O48" s="330"/>
      <c r="P48" s="263"/>
      <c r="Q48" s="261"/>
      <c r="R48" s="261"/>
      <c r="S48" s="261"/>
      <c r="T48" s="261"/>
      <c r="U48" s="261"/>
      <c r="V48" s="261"/>
      <c r="W48" s="261"/>
      <c r="X48" s="261"/>
      <c r="Y48" s="261"/>
      <c r="Z48" s="261"/>
      <c r="AA48" s="261"/>
      <c r="AB48" s="261"/>
      <c r="AC48" s="261"/>
      <c r="AD48" s="261"/>
      <c r="AE48" s="261"/>
      <c r="AF48" s="261"/>
      <c r="AG48" s="261"/>
      <c r="AH48" s="261"/>
      <c r="AI48" s="261"/>
      <c r="AJ48" s="261"/>
      <c r="AK48" s="261"/>
      <c r="AL48" s="261"/>
      <c r="AM48" s="261"/>
      <c r="AN48" s="261"/>
      <c r="AO48" s="261"/>
      <c r="AP48" s="261"/>
      <c r="AQ48" s="261"/>
      <c r="AR48" s="261"/>
      <c r="AS48" s="261"/>
      <c r="AT48" s="261"/>
      <c r="AU48" s="261"/>
      <c r="AV48" s="261"/>
      <c r="AW48" s="261"/>
      <c r="AX48" s="261"/>
      <c r="AY48" s="261"/>
      <c r="AZ48" s="261"/>
      <c r="BA48" s="261"/>
      <c r="BB48" s="261"/>
      <c r="BC48" s="261"/>
      <c r="BD48" s="261"/>
      <c r="BE48" s="261"/>
      <c r="BF48" s="261"/>
      <c r="BG48" s="261"/>
      <c r="BH48" s="261"/>
      <c r="BI48" s="261"/>
      <c r="BJ48" s="261"/>
      <c r="BK48" s="261"/>
      <c r="BL48" s="261"/>
      <c r="BM48" s="261"/>
      <c r="BN48" s="261"/>
      <c r="BO48" s="261"/>
      <c r="BP48" s="261"/>
      <c r="BQ48" s="261"/>
      <c r="BR48" s="261"/>
      <c r="BS48" s="261"/>
      <c r="BT48" s="261"/>
      <c r="BU48" s="261"/>
      <c r="BV48" s="261"/>
      <c r="BW48" s="261"/>
      <c r="BX48" s="261"/>
      <c r="BY48" s="261"/>
      <c r="BZ48" s="261"/>
      <c r="CA48" s="261"/>
      <c r="CB48" s="261"/>
      <c r="CC48" s="261"/>
      <c r="CD48" s="261"/>
      <c r="CE48" s="261"/>
      <c r="CF48" s="261"/>
      <c r="CG48" s="261"/>
      <c r="CH48" s="261"/>
      <c r="CI48" s="261"/>
      <c r="CJ48" s="261"/>
      <c r="CK48" s="261"/>
      <c r="CL48" s="261"/>
      <c r="CM48" s="261"/>
      <c r="CN48" s="261"/>
      <c r="CO48" s="261"/>
      <c r="CP48" s="261"/>
      <c r="CQ48" s="261"/>
      <c r="CR48" s="261"/>
      <c r="CS48" s="261"/>
      <c r="CT48" s="261"/>
      <c r="CU48" s="261"/>
      <c r="CV48" s="261"/>
      <c r="CW48" s="261"/>
      <c r="CX48" s="261"/>
      <c r="CY48" s="261"/>
      <c r="CZ48" s="261"/>
      <c r="DA48" s="261"/>
      <c r="DB48" s="261"/>
      <c r="DC48" s="261"/>
      <c r="DD48" s="261"/>
      <c r="DE48" s="261"/>
      <c r="DF48" s="261"/>
      <c r="DG48" s="261"/>
      <c r="DH48" s="261"/>
      <c r="DI48" s="261"/>
      <c r="DJ48" s="261"/>
      <c r="DK48" s="261"/>
      <c r="DL48" s="261"/>
      <c r="DM48" s="261"/>
      <c r="DN48" s="261"/>
      <c r="DO48" s="261"/>
      <c r="DP48" s="261"/>
      <c r="DQ48" s="261"/>
      <c r="DR48" s="261"/>
      <c r="DS48" s="261"/>
      <c r="DT48" s="261"/>
      <c r="DU48" s="261"/>
      <c r="DV48" s="261"/>
      <c r="DW48" s="261"/>
      <c r="DX48" s="261"/>
      <c r="DY48" s="261"/>
      <c r="DZ48" s="261"/>
      <c r="EA48" s="261"/>
      <c r="EB48" s="261"/>
      <c r="EC48" s="261"/>
      <c r="ED48" s="261"/>
      <c r="EE48" s="261"/>
      <c r="EF48" s="261"/>
      <c r="EG48" s="261"/>
      <c r="EH48" s="261"/>
      <c r="EI48" s="261"/>
      <c r="EJ48" s="261"/>
      <c r="EK48" s="261"/>
      <c r="EL48" s="261"/>
      <c r="EM48" s="261"/>
      <c r="EN48" s="261"/>
      <c r="EO48" s="261"/>
      <c r="EP48" s="261"/>
      <c r="EQ48" s="261"/>
      <c r="ER48" s="261"/>
      <c r="ES48" s="261"/>
      <c r="ET48" s="261"/>
      <c r="EU48" s="261"/>
      <c r="EV48" s="261"/>
      <c r="EW48" s="261"/>
      <c r="EX48" s="261"/>
      <c r="EY48" s="261"/>
      <c r="EZ48" s="261"/>
      <c r="FA48" s="261"/>
      <c r="FB48" s="261"/>
      <c r="FC48" s="261"/>
      <c r="FD48" s="261"/>
      <c r="FE48" s="261"/>
      <c r="FF48" s="261"/>
      <c r="FG48" s="261"/>
      <c r="FH48" s="261"/>
      <c r="FI48" s="261"/>
      <c r="FJ48" s="261"/>
      <c r="FK48" s="261"/>
      <c r="FL48" s="261"/>
      <c r="FM48" s="261"/>
      <c r="FN48" s="261"/>
      <c r="FO48" s="261"/>
      <c r="FP48" s="261"/>
      <c r="FQ48" s="261"/>
      <c r="FR48" s="261"/>
      <c r="FS48" s="261"/>
      <c r="FT48" s="261"/>
      <c r="FU48" s="261"/>
      <c r="FV48" s="261"/>
      <c r="FW48" s="261"/>
      <c r="FX48" s="261"/>
      <c r="FY48" s="261"/>
      <c r="FZ48" s="261"/>
      <c r="GA48" s="261"/>
      <c r="GB48" s="261"/>
      <c r="GC48" s="261"/>
      <c r="GD48" s="261"/>
      <c r="GE48" s="261"/>
      <c r="GF48" s="261"/>
      <c r="GG48" s="261"/>
      <c r="GH48" s="261"/>
      <c r="GI48" s="261"/>
      <c r="GJ48" s="261"/>
      <c r="GK48" s="261"/>
      <c r="GL48" s="261"/>
      <c r="GM48" s="261"/>
      <c r="GN48" s="261"/>
      <c r="GO48" s="261"/>
      <c r="GP48" s="261"/>
      <c r="GQ48" s="261"/>
      <c r="GR48" s="261"/>
      <c r="GS48" s="261"/>
      <c r="GT48" s="261"/>
      <c r="GU48" s="261"/>
      <c r="GV48" s="261"/>
      <c r="GW48" s="261"/>
      <c r="GX48" s="261"/>
      <c r="GY48" s="261"/>
      <c r="GZ48" s="261"/>
      <c r="HA48" s="261"/>
      <c r="HB48" s="261"/>
      <c r="HC48" s="261"/>
      <c r="HD48" s="261"/>
      <c r="HE48" s="261"/>
      <c r="HF48" s="261"/>
      <c r="HG48" s="261"/>
      <c r="HH48" s="261"/>
      <c r="HI48" s="261"/>
      <c r="HJ48" s="261"/>
      <c r="HK48" s="261"/>
      <c r="HL48" s="261"/>
      <c r="HM48" s="261"/>
      <c r="HN48" s="261"/>
      <c r="HO48" s="261"/>
      <c r="HP48" s="261"/>
      <c r="HQ48" s="261"/>
      <c r="HR48" s="261"/>
      <c r="HS48" s="261"/>
      <c r="HT48" s="261"/>
      <c r="HU48" s="261"/>
      <c r="HV48" s="261"/>
      <c r="HW48" s="261"/>
      <c r="HX48" s="261"/>
      <c r="HY48" s="261"/>
      <c r="HZ48" s="261"/>
      <c r="IA48" s="261"/>
      <c r="IB48" s="261"/>
    </row>
    <row r="49" spans="1:236" s="264" customFormat="1" ht="15.75" customHeight="1">
      <c r="A49" s="339"/>
      <c r="B49" s="335" t="s">
        <v>2787</v>
      </c>
      <c r="C49" s="331" t="s">
        <v>2773</v>
      </c>
      <c r="D49" s="325" t="s">
        <v>595</v>
      </c>
      <c r="E49" s="330">
        <v>17300</v>
      </c>
      <c r="F49" s="330">
        <v>17500</v>
      </c>
      <c r="G49" s="330">
        <v>16400</v>
      </c>
      <c r="H49" s="330">
        <v>16400</v>
      </c>
      <c r="I49" s="330">
        <v>17000</v>
      </c>
      <c r="J49" s="330">
        <v>18500</v>
      </c>
      <c r="K49" s="330">
        <v>17000</v>
      </c>
      <c r="L49" s="330">
        <v>18500</v>
      </c>
      <c r="M49" s="330">
        <v>19000</v>
      </c>
      <c r="N49" s="330">
        <v>19000</v>
      </c>
      <c r="O49" s="330">
        <v>19000</v>
      </c>
      <c r="P49" s="263"/>
      <c r="Q49" s="261"/>
      <c r="R49" s="261"/>
      <c r="S49" s="261"/>
      <c r="T49" s="261"/>
      <c r="U49" s="261"/>
      <c r="V49" s="261"/>
      <c r="W49" s="261"/>
      <c r="X49" s="261"/>
      <c r="Y49" s="261"/>
      <c r="Z49" s="261"/>
      <c r="AA49" s="261"/>
      <c r="AB49" s="261"/>
      <c r="AC49" s="261"/>
      <c r="AD49" s="261"/>
      <c r="AE49" s="261"/>
      <c r="AF49" s="261"/>
      <c r="AG49" s="261"/>
      <c r="AH49" s="261"/>
      <c r="AI49" s="261"/>
      <c r="AJ49" s="261"/>
      <c r="AK49" s="261"/>
      <c r="AL49" s="261"/>
      <c r="AM49" s="261"/>
      <c r="AN49" s="261"/>
      <c r="AO49" s="261"/>
      <c r="AP49" s="261"/>
      <c r="AQ49" s="261"/>
      <c r="AR49" s="261"/>
      <c r="AS49" s="261"/>
      <c r="AT49" s="261"/>
      <c r="AU49" s="261"/>
      <c r="AV49" s="261"/>
      <c r="AW49" s="261"/>
      <c r="AX49" s="261"/>
      <c r="AY49" s="261"/>
      <c r="AZ49" s="261"/>
      <c r="BA49" s="261"/>
      <c r="BB49" s="261"/>
      <c r="BC49" s="261"/>
      <c r="BD49" s="261"/>
      <c r="BE49" s="261"/>
      <c r="BF49" s="261"/>
      <c r="BG49" s="261"/>
      <c r="BH49" s="261"/>
      <c r="BI49" s="261"/>
      <c r="BJ49" s="261"/>
      <c r="BK49" s="261"/>
      <c r="BL49" s="261"/>
      <c r="BM49" s="261"/>
      <c r="BN49" s="261"/>
      <c r="BO49" s="261"/>
      <c r="BP49" s="261"/>
      <c r="BQ49" s="261"/>
      <c r="BR49" s="261"/>
      <c r="BS49" s="261"/>
      <c r="BT49" s="261"/>
      <c r="BU49" s="261"/>
      <c r="BV49" s="261"/>
      <c r="BW49" s="261"/>
      <c r="BX49" s="261"/>
      <c r="BY49" s="261"/>
      <c r="BZ49" s="261"/>
      <c r="CA49" s="261"/>
      <c r="CB49" s="261"/>
      <c r="CC49" s="261"/>
      <c r="CD49" s="261"/>
      <c r="CE49" s="261"/>
      <c r="CF49" s="261"/>
      <c r="CG49" s="261"/>
      <c r="CH49" s="261"/>
      <c r="CI49" s="261"/>
      <c r="CJ49" s="261"/>
      <c r="CK49" s="261"/>
      <c r="CL49" s="261"/>
      <c r="CM49" s="261"/>
      <c r="CN49" s="261"/>
      <c r="CO49" s="261"/>
      <c r="CP49" s="261"/>
      <c r="CQ49" s="261"/>
      <c r="CR49" s="261"/>
      <c r="CS49" s="261"/>
      <c r="CT49" s="261"/>
      <c r="CU49" s="261"/>
      <c r="CV49" s="261"/>
      <c r="CW49" s="261"/>
      <c r="CX49" s="261"/>
      <c r="CY49" s="261"/>
      <c r="CZ49" s="261"/>
      <c r="DA49" s="261"/>
      <c r="DB49" s="261"/>
      <c r="DC49" s="261"/>
      <c r="DD49" s="261"/>
      <c r="DE49" s="261"/>
      <c r="DF49" s="261"/>
      <c r="DG49" s="261"/>
      <c r="DH49" s="261"/>
      <c r="DI49" s="261"/>
      <c r="DJ49" s="261"/>
      <c r="DK49" s="261"/>
      <c r="DL49" s="261"/>
      <c r="DM49" s="261"/>
      <c r="DN49" s="261"/>
      <c r="DO49" s="261"/>
      <c r="DP49" s="261"/>
      <c r="DQ49" s="261"/>
      <c r="DR49" s="261"/>
      <c r="DS49" s="261"/>
      <c r="DT49" s="261"/>
      <c r="DU49" s="261"/>
      <c r="DV49" s="261"/>
      <c r="DW49" s="261"/>
      <c r="DX49" s="261"/>
      <c r="DY49" s="261"/>
      <c r="DZ49" s="261"/>
      <c r="EA49" s="261"/>
      <c r="EB49" s="261"/>
      <c r="EC49" s="261"/>
      <c r="ED49" s="261"/>
      <c r="EE49" s="261"/>
      <c r="EF49" s="261"/>
      <c r="EG49" s="261"/>
      <c r="EH49" s="261"/>
      <c r="EI49" s="261"/>
      <c r="EJ49" s="261"/>
      <c r="EK49" s="261"/>
      <c r="EL49" s="261"/>
      <c r="EM49" s="261"/>
      <c r="EN49" s="261"/>
      <c r="EO49" s="261"/>
      <c r="EP49" s="261"/>
      <c r="EQ49" s="261"/>
      <c r="ER49" s="261"/>
      <c r="ES49" s="261"/>
      <c r="ET49" s="261"/>
      <c r="EU49" s="261"/>
      <c r="EV49" s="261"/>
      <c r="EW49" s="261"/>
      <c r="EX49" s="261"/>
      <c r="EY49" s="261"/>
      <c r="EZ49" s="261"/>
      <c r="FA49" s="261"/>
      <c r="FB49" s="261"/>
      <c r="FC49" s="261"/>
      <c r="FD49" s="261"/>
      <c r="FE49" s="261"/>
      <c r="FF49" s="261"/>
      <c r="FG49" s="261"/>
      <c r="FH49" s="261"/>
      <c r="FI49" s="261"/>
      <c r="FJ49" s="261"/>
      <c r="FK49" s="261"/>
      <c r="FL49" s="261"/>
      <c r="FM49" s="261"/>
      <c r="FN49" s="261"/>
      <c r="FO49" s="261"/>
      <c r="FP49" s="261"/>
      <c r="FQ49" s="261"/>
      <c r="FR49" s="261"/>
      <c r="FS49" s="261"/>
      <c r="FT49" s="261"/>
      <c r="FU49" s="261"/>
      <c r="FV49" s="261"/>
      <c r="FW49" s="261"/>
      <c r="FX49" s="261"/>
      <c r="FY49" s="261"/>
      <c r="FZ49" s="261"/>
      <c r="GA49" s="261"/>
      <c r="GB49" s="261"/>
      <c r="GC49" s="261"/>
      <c r="GD49" s="261"/>
      <c r="GE49" s="261"/>
      <c r="GF49" s="261"/>
      <c r="GG49" s="261"/>
      <c r="GH49" s="261"/>
      <c r="GI49" s="261"/>
      <c r="GJ49" s="261"/>
      <c r="GK49" s="261"/>
      <c r="GL49" s="261"/>
      <c r="GM49" s="261"/>
      <c r="GN49" s="261"/>
      <c r="GO49" s="261"/>
      <c r="GP49" s="261"/>
      <c r="GQ49" s="261"/>
      <c r="GR49" s="261"/>
      <c r="GS49" s="261"/>
      <c r="GT49" s="261"/>
      <c r="GU49" s="261"/>
      <c r="GV49" s="261"/>
      <c r="GW49" s="261"/>
      <c r="GX49" s="261"/>
      <c r="GY49" s="261"/>
      <c r="GZ49" s="261"/>
      <c r="HA49" s="261"/>
      <c r="HB49" s="261"/>
      <c r="HC49" s="261"/>
      <c r="HD49" s="261"/>
      <c r="HE49" s="261"/>
      <c r="HF49" s="261"/>
      <c r="HG49" s="261"/>
      <c r="HH49" s="261"/>
      <c r="HI49" s="261"/>
      <c r="HJ49" s="261"/>
      <c r="HK49" s="261"/>
      <c r="HL49" s="261"/>
      <c r="HM49" s="261"/>
      <c r="HN49" s="261"/>
      <c r="HO49" s="261"/>
      <c r="HP49" s="261"/>
      <c r="HQ49" s="261"/>
      <c r="HR49" s="261"/>
      <c r="HS49" s="261"/>
      <c r="HT49" s="261"/>
      <c r="HU49" s="261"/>
      <c r="HV49" s="261"/>
      <c r="HW49" s="261"/>
      <c r="HX49" s="261"/>
      <c r="HY49" s="261"/>
      <c r="HZ49" s="261"/>
      <c r="IA49" s="261"/>
      <c r="IB49" s="261"/>
    </row>
    <row r="50" spans="1:236" s="264" customFormat="1" ht="15.75" customHeight="1">
      <c r="A50" s="339"/>
      <c r="B50" s="335" t="s">
        <v>2788</v>
      </c>
      <c r="C50" s="331"/>
      <c r="D50" s="325" t="s">
        <v>281</v>
      </c>
      <c r="E50" s="330">
        <v>17300</v>
      </c>
      <c r="F50" s="330">
        <v>17500</v>
      </c>
      <c r="G50" s="330">
        <v>16400</v>
      </c>
      <c r="H50" s="330">
        <v>16400</v>
      </c>
      <c r="I50" s="330">
        <v>17000</v>
      </c>
      <c r="J50" s="330">
        <v>18500</v>
      </c>
      <c r="K50" s="330">
        <v>17000</v>
      </c>
      <c r="L50" s="330">
        <v>18500</v>
      </c>
      <c r="M50" s="330">
        <v>19000</v>
      </c>
      <c r="N50" s="330">
        <v>19000</v>
      </c>
      <c r="O50" s="330">
        <v>19000</v>
      </c>
      <c r="P50" s="263"/>
      <c r="Q50" s="261"/>
      <c r="R50" s="261"/>
      <c r="S50" s="261"/>
      <c r="T50" s="261"/>
      <c r="U50" s="261"/>
      <c r="V50" s="261"/>
      <c r="W50" s="261"/>
      <c r="X50" s="261"/>
      <c r="Y50" s="261"/>
      <c r="Z50" s="261"/>
      <c r="AA50" s="261"/>
      <c r="AB50" s="261"/>
      <c r="AC50" s="261"/>
      <c r="AD50" s="261"/>
      <c r="AE50" s="261"/>
      <c r="AF50" s="261"/>
      <c r="AG50" s="261"/>
      <c r="AH50" s="261"/>
      <c r="AI50" s="261"/>
      <c r="AJ50" s="261"/>
      <c r="AK50" s="261"/>
      <c r="AL50" s="261"/>
      <c r="AM50" s="261"/>
      <c r="AN50" s="261"/>
      <c r="AO50" s="261"/>
      <c r="AP50" s="261"/>
      <c r="AQ50" s="261"/>
      <c r="AR50" s="261"/>
      <c r="AS50" s="261"/>
      <c r="AT50" s="261"/>
      <c r="AU50" s="261"/>
      <c r="AV50" s="261"/>
      <c r="AW50" s="261"/>
      <c r="AX50" s="261"/>
      <c r="AY50" s="261"/>
      <c r="AZ50" s="261"/>
      <c r="BA50" s="261"/>
      <c r="BB50" s="261"/>
      <c r="BC50" s="261"/>
      <c r="BD50" s="261"/>
      <c r="BE50" s="261"/>
      <c r="BF50" s="261"/>
      <c r="BG50" s="261"/>
      <c r="BH50" s="261"/>
      <c r="BI50" s="261"/>
      <c r="BJ50" s="261"/>
      <c r="BK50" s="261"/>
      <c r="BL50" s="261"/>
      <c r="BM50" s="261"/>
      <c r="BN50" s="261"/>
      <c r="BO50" s="261"/>
      <c r="BP50" s="261"/>
      <c r="BQ50" s="261"/>
      <c r="BR50" s="261"/>
      <c r="BS50" s="261"/>
      <c r="BT50" s="261"/>
      <c r="BU50" s="261"/>
      <c r="BV50" s="261"/>
      <c r="BW50" s="261"/>
      <c r="BX50" s="261"/>
      <c r="BY50" s="261"/>
      <c r="BZ50" s="261"/>
      <c r="CA50" s="261"/>
      <c r="CB50" s="261"/>
      <c r="CC50" s="261"/>
      <c r="CD50" s="261"/>
      <c r="CE50" s="261"/>
      <c r="CF50" s="261"/>
      <c r="CG50" s="261"/>
      <c r="CH50" s="261"/>
      <c r="CI50" s="261"/>
      <c r="CJ50" s="261"/>
      <c r="CK50" s="261"/>
      <c r="CL50" s="261"/>
      <c r="CM50" s="261"/>
      <c r="CN50" s="261"/>
      <c r="CO50" s="261"/>
      <c r="CP50" s="261"/>
      <c r="CQ50" s="261"/>
      <c r="CR50" s="261"/>
      <c r="CS50" s="261"/>
      <c r="CT50" s="261"/>
      <c r="CU50" s="261"/>
      <c r="CV50" s="261"/>
      <c r="CW50" s="261"/>
      <c r="CX50" s="261"/>
      <c r="CY50" s="261"/>
      <c r="CZ50" s="261"/>
      <c r="DA50" s="261"/>
      <c r="DB50" s="261"/>
      <c r="DC50" s="261"/>
      <c r="DD50" s="261"/>
      <c r="DE50" s="261"/>
      <c r="DF50" s="261"/>
      <c r="DG50" s="261"/>
      <c r="DH50" s="261"/>
      <c r="DI50" s="261"/>
      <c r="DJ50" s="261"/>
      <c r="DK50" s="261"/>
      <c r="DL50" s="261"/>
      <c r="DM50" s="261"/>
      <c r="DN50" s="261"/>
      <c r="DO50" s="261"/>
      <c r="DP50" s="261"/>
      <c r="DQ50" s="261"/>
      <c r="DR50" s="261"/>
      <c r="DS50" s="261"/>
      <c r="DT50" s="261"/>
      <c r="DU50" s="261"/>
      <c r="DV50" s="261"/>
      <c r="DW50" s="261"/>
      <c r="DX50" s="261"/>
      <c r="DY50" s="261"/>
      <c r="DZ50" s="261"/>
      <c r="EA50" s="261"/>
      <c r="EB50" s="261"/>
      <c r="EC50" s="261"/>
      <c r="ED50" s="261"/>
      <c r="EE50" s="261"/>
      <c r="EF50" s="261"/>
      <c r="EG50" s="261"/>
      <c r="EH50" s="261"/>
      <c r="EI50" s="261"/>
      <c r="EJ50" s="261"/>
      <c r="EK50" s="261"/>
      <c r="EL50" s="261"/>
      <c r="EM50" s="261"/>
      <c r="EN50" s="261"/>
      <c r="EO50" s="261"/>
      <c r="EP50" s="261"/>
      <c r="EQ50" s="261"/>
      <c r="ER50" s="261"/>
      <c r="ES50" s="261"/>
      <c r="ET50" s="261"/>
      <c r="EU50" s="261"/>
      <c r="EV50" s="261"/>
      <c r="EW50" s="261"/>
      <c r="EX50" s="261"/>
      <c r="EY50" s="261"/>
      <c r="EZ50" s="261"/>
      <c r="FA50" s="261"/>
      <c r="FB50" s="261"/>
      <c r="FC50" s="261"/>
      <c r="FD50" s="261"/>
      <c r="FE50" s="261"/>
      <c r="FF50" s="261"/>
      <c r="FG50" s="261"/>
      <c r="FH50" s="261"/>
      <c r="FI50" s="261"/>
      <c r="FJ50" s="261"/>
      <c r="FK50" s="261"/>
      <c r="FL50" s="261"/>
      <c r="FM50" s="261"/>
      <c r="FN50" s="261"/>
      <c r="FO50" s="261"/>
      <c r="FP50" s="261"/>
      <c r="FQ50" s="261"/>
      <c r="FR50" s="261"/>
      <c r="FS50" s="261"/>
      <c r="FT50" s="261"/>
      <c r="FU50" s="261"/>
      <c r="FV50" s="261"/>
      <c r="FW50" s="261"/>
      <c r="FX50" s="261"/>
      <c r="FY50" s="261"/>
      <c r="FZ50" s="261"/>
      <c r="GA50" s="261"/>
      <c r="GB50" s="261"/>
      <c r="GC50" s="261"/>
      <c r="GD50" s="261"/>
      <c r="GE50" s="261"/>
      <c r="GF50" s="261"/>
      <c r="GG50" s="261"/>
      <c r="GH50" s="261"/>
      <c r="GI50" s="261"/>
      <c r="GJ50" s="261"/>
      <c r="GK50" s="261"/>
      <c r="GL50" s="261"/>
      <c r="GM50" s="261"/>
      <c r="GN50" s="261"/>
      <c r="GO50" s="261"/>
      <c r="GP50" s="261"/>
      <c r="GQ50" s="261"/>
      <c r="GR50" s="261"/>
      <c r="GS50" s="261"/>
      <c r="GT50" s="261"/>
      <c r="GU50" s="261"/>
      <c r="GV50" s="261"/>
      <c r="GW50" s="261"/>
      <c r="GX50" s="261"/>
      <c r="GY50" s="261"/>
      <c r="GZ50" s="261"/>
      <c r="HA50" s="261"/>
      <c r="HB50" s="261"/>
      <c r="HC50" s="261"/>
      <c r="HD50" s="261"/>
      <c r="HE50" s="261"/>
      <c r="HF50" s="261"/>
      <c r="HG50" s="261"/>
      <c r="HH50" s="261"/>
      <c r="HI50" s="261"/>
      <c r="HJ50" s="261"/>
      <c r="HK50" s="261"/>
      <c r="HL50" s="261"/>
      <c r="HM50" s="261"/>
      <c r="HN50" s="261"/>
      <c r="HO50" s="261"/>
      <c r="HP50" s="261"/>
      <c r="HQ50" s="261"/>
      <c r="HR50" s="261"/>
      <c r="HS50" s="261"/>
      <c r="HT50" s="261"/>
      <c r="HU50" s="261"/>
      <c r="HV50" s="261"/>
      <c r="HW50" s="261"/>
      <c r="HX50" s="261"/>
      <c r="HY50" s="261"/>
      <c r="HZ50" s="261"/>
      <c r="IA50" s="261"/>
      <c r="IB50" s="261"/>
    </row>
    <row r="51" spans="1:236" s="264" customFormat="1" ht="15.75" customHeight="1">
      <c r="A51" s="339"/>
      <c r="B51" s="335" t="s">
        <v>2789</v>
      </c>
      <c r="C51" s="331"/>
      <c r="D51" s="325" t="s">
        <v>282</v>
      </c>
      <c r="E51" s="330">
        <v>17300</v>
      </c>
      <c r="F51" s="330">
        <v>17500</v>
      </c>
      <c r="G51" s="330">
        <v>16400</v>
      </c>
      <c r="H51" s="330">
        <v>16400</v>
      </c>
      <c r="I51" s="330">
        <v>17000</v>
      </c>
      <c r="J51" s="330">
        <v>18500</v>
      </c>
      <c r="K51" s="330">
        <v>17000</v>
      </c>
      <c r="L51" s="330">
        <v>18500</v>
      </c>
      <c r="M51" s="330">
        <v>19000</v>
      </c>
      <c r="N51" s="330">
        <v>19000</v>
      </c>
      <c r="O51" s="330">
        <v>19000</v>
      </c>
      <c r="P51" s="263"/>
      <c r="Q51" s="261"/>
      <c r="R51" s="261"/>
      <c r="S51" s="261"/>
      <c r="T51" s="261"/>
      <c r="U51" s="261"/>
      <c r="V51" s="261"/>
      <c r="W51" s="261"/>
      <c r="X51" s="261"/>
      <c r="Y51" s="261"/>
      <c r="Z51" s="261"/>
      <c r="AA51" s="261"/>
      <c r="AB51" s="261"/>
      <c r="AC51" s="261"/>
      <c r="AD51" s="261"/>
      <c r="AE51" s="261"/>
      <c r="AF51" s="261"/>
      <c r="AG51" s="261"/>
      <c r="AH51" s="261"/>
      <c r="AI51" s="261"/>
      <c r="AJ51" s="261"/>
      <c r="AK51" s="261"/>
      <c r="AL51" s="261"/>
      <c r="AM51" s="261"/>
      <c r="AN51" s="261"/>
      <c r="AO51" s="261"/>
      <c r="AP51" s="261"/>
      <c r="AQ51" s="261"/>
      <c r="AR51" s="261"/>
      <c r="AS51" s="261"/>
      <c r="AT51" s="261"/>
      <c r="AU51" s="261"/>
      <c r="AV51" s="261"/>
      <c r="AW51" s="261"/>
      <c r="AX51" s="261"/>
      <c r="AY51" s="261"/>
      <c r="AZ51" s="261"/>
      <c r="BA51" s="261"/>
      <c r="BB51" s="261"/>
      <c r="BC51" s="261"/>
      <c r="BD51" s="261"/>
      <c r="BE51" s="261"/>
      <c r="BF51" s="261"/>
      <c r="BG51" s="261"/>
      <c r="BH51" s="261"/>
      <c r="BI51" s="261"/>
      <c r="BJ51" s="261"/>
      <c r="BK51" s="261"/>
      <c r="BL51" s="261"/>
      <c r="BM51" s="261"/>
      <c r="BN51" s="261"/>
      <c r="BO51" s="261"/>
      <c r="BP51" s="261"/>
      <c r="BQ51" s="261"/>
      <c r="BR51" s="261"/>
      <c r="BS51" s="261"/>
      <c r="BT51" s="261"/>
      <c r="BU51" s="261"/>
      <c r="BV51" s="261"/>
      <c r="BW51" s="261"/>
      <c r="BX51" s="261"/>
      <c r="BY51" s="261"/>
      <c r="BZ51" s="261"/>
      <c r="CA51" s="261"/>
      <c r="CB51" s="261"/>
      <c r="CC51" s="261"/>
      <c r="CD51" s="261"/>
      <c r="CE51" s="261"/>
      <c r="CF51" s="261"/>
      <c r="CG51" s="261"/>
      <c r="CH51" s="261"/>
      <c r="CI51" s="261"/>
      <c r="CJ51" s="261"/>
      <c r="CK51" s="261"/>
      <c r="CL51" s="261"/>
      <c r="CM51" s="261"/>
      <c r="CN51" s="261"/>
      <c r="CO51" s="261"/>
      <c r="CP51" s="261"/>
      <c r="CQ51" s="261"/>
      <c r="CR51" s="261"/>
      <c r="CS51" s="261"/>
      <c r="CT51" s="261"/>
      <c r="CU51" s="261"/>
      <c r="CV51" s="261"/>
      <c r="CW51" s="261"/>
      <c r="CX51" s="261"/>
      <c r="CY51" s="261"/>
      <c r="CZ51" s="261"/>
      <c r="DA51" s="261"/>
      <c r="DB51" s="261"/>
      <c r="DC51" s="261"/>
      <c r="DD51" s="261"/>
      <c r="DE51" s="261"/>
      <c r="DF51" s="261"/>
      <c r="DG51" s="261"/>
      <c r="DH51" s="261"/>
      <c r="DI51" s="261"/>
      <c r="DJ51" s="261"/>
      <c r="DK51" s="261"/>
      <c r="DL51" s="261"/>
      <c r="DM51" s="261"/>
      <c r="DN51" s="261"/>
      <c r="DO51" s="261"/>
      <c r="DP51" s="261"/>
      <c r="DQ51" s="261"/>
      <c r="DR51" s="261"/>
      <c r="DS51" s="261"/>
      <c r="DT51" s="261"/>
      <c r="DU51" s="261"/>
      <c r="DV51" s="261"/>
      <c r="DW51" s="261"/>
      <c r="DX51" s="261"/>
      <c r="DY51" s="261"/>
      <c r="DZ51" s="261"/>
      <c r="EA51" s="261"/>
      <c r="EB51" s="261"/>
      <c r="EC51" s="261"/>
      <c r="ED51" s="261"/>
      <c r="EE51" s="261"/>
      <c r="EF51" s="261"/>
      <c r="EG51" s="261"/>
      <c r="EH51" s="261"/>
      <c r="EI51" s="261"/>
      <c r="EJ51" s="261"/>
      <c r="EK51" s="261"/>
      <c r="EL51" s="261"/>
      <c r="EM51" s="261"/>
      <c r="EN51" s="261"/>
      <c r="EO51" s="261"/>
      <c r="EP51" s="261"/>
      <c r="EQ51" s="261"/>
      <c r="ER51" s="261"/>
      <c r="ES51" s="261"/>
      <c r="ET51" s="261"/>
      <c r="EU51" s="261"/>
      <c r="EV51" s="261"/>
      <c r="EW51" s="261"/>
      <c r="EX51" s="261"/>
      <c r="EY51" s="261"/>
      <c r="EZ51" s="261"/>
      <c r="FA51" s="261"/>
      <c r="FB51" s="261"/>
      <c r="FC51" s="261"/>
      <c r="FD51" s="261"/>
      <c r="FE51" s="261"/>
      <c r="FF51" s="261"/>
      <c r="FG51" s="261"/>
      <c r="FH51" s="261"/>
      <c r="FI51" s="261"/>
      <c r="FJ51" s="261"/>
      <c r="FK51" s="261"/>
      <c r="FL51" s="261"/>
      <c r="FM51" s="261"/>
      <c r="FN51" s="261"/>
      <c r="FO51" s="261"/>
      <c r="FP51" s="261"/>
      <c r="FQ51" s="261"/>
      <c r="FR51" s="261"/>
      <c r="FS51" s="261"/>
      <c r="FT51" s="261"/>
      <c r="FU51" s="261"/>
      <c r="FV51" s="261"/>
      <c r="FW51" s="261"/>
      <c r="FX51" s="261"/>
      <c r="FY51" s="261"/>
      <c r="FZ51" s="261"/>
      <c r="GA51" s="261"/>
      <c r="GB51" s="261"/>
      <c r="GC51" s="261"/>
      <c r="GD51" s="261"/>
      <c r="GE51" s="261"/>
      <c r="GF51" s="261"/>
      <c r="GG51" s="261"/>
      <c r="GH51" s="261"/>
      <c r="GI51" s="261"/>
      <c r="GJ51" s="261"/>
      <c r="GK51" s="261"/>
      <c r="GL51" s="261"/>
      <c r="GM51" s="261"/>
      <c r="GN51" s="261"/>
      <c r="GO51" s="261"/>
      <c r="GP51" s="261"/>
      <c r="GQ51" s="261"/>
      <c r="GR51" s="261"/>
      <c r="GS51" s="261"/>
      <c r="GT51" s="261"/>
      <c r="GU51" s="261"/>
      <c r="GV51" s="261"/>
      <c r="GW51" s="261"/>
      <c r="GX51" s="261"/>
      <c r="GY51" s="261"/>
      <c r="GZ51" s="261"/>
      <c r="HA51" s="261"/>
      <c r="HB51" s="261"/>
      <c r="HC51" s="261"/>
      <c r="HD51" s="261"/>
      <c r="HE51" s="261"/>
      <c r="HF51" s="261"/>
      <c r="HG51" s="261"/>
      <c r="HH51" s="261"/>
      <c r="HI51" s="261"/>
      <c r="HJ51" s="261"/>
      <c r="HK51" s="261"/>
      <c r="HL51" s="261"/>
      <c r="HM51" s="261"/>
      <c r="HN51" s="261"/>
      <c r="HO51" s="261"/>
      <c r="HP51" s="261"/>
      <c r="HQ51" s="261"/>
      <c r="HR51" s="261"/>
      <c r="HS51" s="261"/>
      <c r="HT51" s="261"/>
      <c r="HU51" s="261"/>
      <c r="HV51" s="261"/>
      <c r="HW51" s="261"/>
      <c r="HX51" s="261"/>
      <c r="HY51" s="261"/>
      <c r="HZ51" s="261"/>
      <c r="IA51" s="261"/>
      <c r="IB51" s="261"/>
    </row>
    <row r="52" spans="1:236" s="264" customFormat="1" ht="15.75" customHeight="1">
      <c r="A52" s="339"/>
      <c r="B52" s="346" t="s">
        <v>2790</v>
      </c>
      <c r="C52" s="346"/>
      <c r="D52" s="341"/>
      <c r="E52" s="330"/>
      <c r="F52" s="330"/>
      <c r="G52" s="330"/>
      <c r="H52" s="330"/>
      <c r="I52" s="330"/>
      <c r="J52" s="330"/>
      <c r="K52" s="330"/>
      <c r="L52" s="330"/>
      <c r="M52" s="330"/>
      <c r="N52" s="330"/>
      <c r="O52" s="330"/>
      <c r="P52" s="263"/>
      <c r="Q52" s="261"/>
      <c r="R52" s="261"/>
      <c r="S52" s="261"/>
      <c r="T52" s="261"/>
      <c r="U52" s="261"/>
      <c r="V52" s="261"/>
      <c r="W52" s="261"/>
      <c r="X52" s="261"/>
      <c r="Y52" s="261"/>
      <c r="Z52" s="261"/>
      <c r="AA52" s="261"/>
      <c r="AB52" s="261"/>
      <c r="AC52" s="261"/>
      <c r="AD52" s="261"/>
      <c r="AE52" s="261"/>
      <c r="AF52" s="261"/>
      <c r="AG52" s="261"/>
      <c r="AH52" s="261"/>
      <c r="AI52" s="261"/>
      <c r="AJ52" s="261"/>
      <c r="AK52" s="261"/>
      <c r="AL52" s="261"/>
      <c r="AM52" s="261"/>
      <c r="AN52" s="261"/>
      <c r="AO52" s="261"/>
      <c r="AP52" s="261"/>
      <c r="AQ52" s="261"/>
      <c r="AR52" s="261"/>
      <c r="AS52" s="261"/>
      <c r="AT52" s="261"/>
      <c r="AU52" s="261"/>
      <c r="AV52" s="261"/>
      <c r="AW52" s="261"/>
      <c r="AX52" s="261"/>
      <c r="AY52" s="261"/>
      <c r="AZ52" s="261"/>
      <c r="BA52" s="261"/>
      <c r="BB52" s="261"/>
      <c r="BC52" s="261"/>
      <c r="BD52" s="261"/>
      <c r="BE52" s="261"/>
      <c r="BF52" s="261"/>
      <c r="BG52" s="261"/>
      <c r="BH52" s="261"/>
      <c r="BI52" s="261"/>
      <c r="BJ52" s="261"/>
      <c r="BK52" s="261"/>
      <c r="BL52" s="261"/>
      <c r="BM52" s="261"/>
      <c r="BN52" s="261"/>
      <c r="BO52" s="261"/>
      <c r="BP52" s="261"/>
      <c r="BQ52" s="261"/>
      <c r="BR52" s="261"/>
      <c r="BS52" s="261"/>
      <c r="BT52" s="261"/>
      <c r="BU52" s="261"/>
      <c r="BV52" s="261"/>
      <c r="BW52" s="261"/>
      <c r="BX52" s="261"/>
      <c r="BY52" s="261"/>
      <c r="BZ52" s="261"/>
      <c r="CA52" s="261"/>
      <c r="CB52" s="261"/>
      <c r="CC52" s="261"/>
      <c r="CD52" s="261"/>
      <c r="CE52" s="261"/>
      <c r="CF52" s="261"/>
      <c r="CG52" s="261"/>
      <c r="CH52" s="261"/>
      <c r="CI52" s="261"/>
      <c r="CJ52" s="261"/>
      <c r="CK52" s="261"/>
      <c r="CL52" s="261"/>
      <c r="CM52" s="261"/>
      <c r="CN52" s="261"/>
      <c r="CO52" s="261"/>
      <c r="CP52" s="261"/>
      <c r="CQ52" s="261"/>
      <c r="CR52" s="261"/>
      <c r="CS52" s="261"/>
      <c r="CT52" s="261"/>
      <c r="CU52" s="261"/>
      <c r="CV52" s="261"/>
      <c r="CW52" s="261"/>
      <c r="CX52" s="261"/>
      <c r="CY52" s="261"/>
      <c r="CZ52" s="261"/>
      <c r="DA52" s="261"/>
      <c r="DB52" s="261"/>
      <c r="DC52" s="261"/>
      <c r="DD52" s="261"/>
      <c r="DE52" s="261"/>
      <c r="DF52" s="261"/>
      <c r="DG52" s="261"/>
      <c r="DH52" s="261"/>
      <c r="DI52" s="261"/>
      <c r="DJ52" s="261"/>
      <c r="DK52" s="261"/>
      <c r="DL52" s="261"/>
      <c r="DM52" s="261"/>
      <c r="DN52" s="261"/>
      <c r="DO52" s="261"/>
      <c r="DP52" s="261"/>
      <c r="DQ52" s="261"/>
      <c r="DR52" s="261"/>
      <c r="DS52" s="261"/>
      <c r="DT52" s="261"/>
      <c r="DU52" s="261"/>
      <c r="DV52" s="261"/>
      <c r="DW52" s="261"/>
      <c r="DX52" s="261"/>
      <c r="DY52" s="261"/>
      <c r="DZ52" s="261"/>
      <c r="EA52" s="261"/>
      <c r="EB52" s="261"/>
      <c r="EC52" s="261"/>
      <c r="ED52" s="261"/>
      <c r="EE52" s="261"/>
      <c r="EF52" s="261"/>
      <c r="EG52" s="261"/>
      <c r="EH52" s="261"/>
      <c r="EI52" s="261"/>
      <c r="EJ52" s="261"/>
      <c r="EK52" s="261"/>
      <c r="EL52" s="261"/>
      <c r="EM52" s="261"/>
      <c r="EN52" s="261"/>
      <c r="EO52" s="261"/>
      <c r="EP52" s="261"/>
      <c r="EQ52" s="261"/>
      <c r="ER52" s="261"/>
      <c r="ES52" s="261"/>
      <c r="ET52" s="261"/>
      <c r="EU52" s="261"/>
      <c r="EV52" s="261"/>
      <c r="EW52" s="261"/>
      <c r="EX52" s="261"/>
      <c r="EY52" s="261"/>
      <c r="EZ52" s="261"/>
      <c r="FA52" s="261"/>
      <c r="FB52" s="261"/>
      <c r="FC52" s="261"/>
      <c r="FD52" s="261"/>
      <c r="FE52" s="261"/>
      <c r="FF52" s="261"/>
      <c r="FG52" s="261"/>
      <c r="FH52" s="261"/>
      <c r="FI52" s="261"/>
      <c r="FJ52" s="261"/>
      <c r="FK52" s="261"/>
      <c r="FL52" s="261"/>
      <c r="FM52" s="261"/>
      <c r="FN52" s="261"/>
      <c r="FO52" s="261"/>
      <c r="FP52" s="261"/>
      <c r="FQ52" s="261"/>
      <c r="FR52" s="261"/>
      <c r="FS52" s="261"/>
      <c r="FT52" s="261"/>
      <c r="FU52" s="261"/>
      <c r="FV52" s="261"/>
      <c r="FW52" s="261"/>
      <c r="FX52" s="261"/>
      <c r="FY52" s="261"/>
      <c r="FZ52" s="261"/>
      <c r="GA52" s="261"/>
      <c r="GB52" s="261"/>
      <c r="GC52" s="261"/>
      <c r="GD52" s="261"/>
      <c r="GE52" s="261"/>
      <c r="GF52" s="261"/>
      <c r="GG52" s="261"/>
      <c r="GH52" s="261"/>
      <c r="GI52" s="261"/>
      <c r="GJ52" s="261"/>
      <c r="GK52" s="261"/>
      <c r="GL52" s="261"/>
      <c r="GM52" s="261"/>
      <c r="GN52" s="261"/>
      <c r="GO52" s="261"/>
      <c r="GP52" s="261"/>
      <c r="GQ52" s="261"/>
      <c r="GR52" s="261"/>
      <c r="GS52" s="261"/>
      <c r="GT52" s="261"/>
      <c r="GU52" s="261"/>
      <c r="GV52" s="261"/>
      <c r="GW52" s="261"/>
      <c r="GX52" s="261"/>
      <c r="GY52" s="261"/>
      <c r="GZ52" s="261"/>
      <c r="HA52" s="261"/>
      <c r="HB52" s="261"/>
      <c r="HC52" s="261"/>
      <c r="HD52" s="261"/>
      <c r="HE52" s="261"/>
      <c r="HF52" s="261"/>
      <c r="HG52" s="261"/>
      <c r="HH52" s="261"/>
      <c r="HI52" s="261"/>
      <c r="HJ52" s="261"/>
      <c r="HK52" s="261"/>
      <c r="HL52" s="261"/>
      <c r="HM52" s="261"/>
      <c r="HN52" s="261"/>
      <c r="HO52" s="261"/>
      <c r="HP52" s="261"/>
      <c r="HQ52" s="261"/>
      <c r="HR52" s="261"/>
      <c r="HS52" s="261"/>
      <c r="HT52" s="261"/>
      <c r="HU52" s="261"/>
      <c r="HV52" s="261"/>
      <c r="HW52" s="261"/>
      <c r="HX52" s="261"/>
      <c r="HY52" s="261"/>
      <c r="HZ52" s="261"/>
      <c r="IA52" s="261"/>
      <c r="IB52" s="261"/>
    </row>
    <row r="53" spans="1:236" s="264" customFormat="1" ht="15.75" customHeight="1">
      <c r="A53" s="339"/>
      <c r="B53" s="335" t="s">
        <v>2791</v>
      </c>
      <c r="C53" s="382" t="s">
        <v>2773</v>
      </c>
      <c r="D53" s="341" t="s">
        <v>595</v>
      </c>
      <c r="E53" s="330">
        <v>17300</v>
      </c>
      <c r="F53" s="330">
        <v>17500</v>
      </c>
      <c r="G53" s="330">
        <v>16400</v>
      </c>
      <c r="H53" s="330">
        <v>16400</v>
      </c>
      <c r="I53" s="330">
        <v>17000</v>
      </c>
      <c r="J53" s="330">
        <v>18500</v>
      </c>
      <c r="K53" s="330">
        <v>17000</v>
      </c>
      <c r="L53" s="330">
        <v>18500</v>
      </c>
      <c r="M53" s="330">
        <v>19000</v>
      </c>
      <c r="N53" s="330">
        <v>19000</v>
      </c>
      <c r="O53" s="330">
        <v>19000</v>
      </c>
      <c r="P53" s="263"/>
      <c r="Q53" s="261"/>
      <c r="R53" s="261"/>
      <c r="S53" s="261"/>
      <c r="T53" s="261"/>
      <c r="U53" s="261"/>
      <c r="V53" s="261"/>
      <c r="W53" s="261"/>
      <c r="X53" s="261"/>
      <c r="Y53" s="261"/>
      <c r="Z53" s="261"/>
      <c r="AA53" s="261"/>
      <c r="AB53" s="261"/>
      <c r="AC53" s="261"/>
      <c r="AD53" s="261"/>
      <c r="AE53" s="261"/>
      <c r="AF53" s="261"/>
      <c r="AG53" s="261"/>
      <c r="AH53" s="261"/>
      <c r="AI53" s="261"/>
      <c r="AJ53" s="261"/>
      <c r="AK53" s="261"/>
      <c r="AL53" s="261"/>
      <c r="AM53" s="261"/>
      <c r="AN53" s="261"/>
      <c r="AO53" s="261"/>
      <c r="AP53" s="261"/>
      <c r="AQ53" s="261"/>
      <c r="AR53" s="261"/>
      <c r="AS53" s="261"/>
      <c r="AT53" s="261"/>
      <c r="AU53" s="261"/>
      <c r="AV53" s="261"/>
      <c r="AW53" s="261"/>
      <c r="AX53" s="261"/>
      <c r="AY53" s="261"/>
      <c r="AZ53" s="261"/>
      <c r="BA53" s="261"/>
      <c r="BB53" s="261"/>
      <c r="BC53" s="261"/>
      <c r="BD53" s="261"/>
      <c r="BE53" s="261"/>
      <c r="BF53" s="261"/>
      <c r="BG53" s="261"/>
      <c r="BH53" s="261"/>
      <c r="BI53" s="261"/>
      <c r="BJ53" s="261"/>
      <c r="BK53" s="261"/>
      <c r="BL53" s="261"/>
      <c r="BM53" s="261"/>
      <c r="BN53" s="261"/>
      <c r="BO53" s="261"/>
      <c r="BP53" s="261"/>
      <c r="BQ53" s="261"/>
      <c r="BR53" s="261"/>
      <c r="BS53" s="261"/>
      <c r="BT53" s="261"/>
      <c r="BU53" s="261"/>
      <c r="BV53" s="261"/>
      <c r="BW53" s="261"/>
      <c r="BX53" s="261"/>
      <c r="BY53" s="261"/>
      <c r="BZ53" s="261"/>
      <c r="CA53" s="261"/>
      <c r="CB53" s="261"/>
      <c r="CC53" s="261"/>
      <c r="CD53" s="261"/>
      <c r="CE53" s="261"/>
      <c r="CF53" s="261"/>
      <c r="CG53" s="261"/>
      <c r="CH53" s="261"/>
      <c r="CI53" s="261"/>
      <c r="CJ53" s="261"/>
      <c r="CK53" s="261"/>
      <c r="CL53" s="261"/>
      <c r="CM53" s="261"/>
      <c r="CN53" s="261"/>
      <c r="CO53" s="261"/>
      <c r="CP53" s="261"/>
      <c r="CQ53" s="261"/>
      <c r="CR53" s="261"/>
      <c r="CS53" s="261"/>
      <c r="CT53" s="261"/>
      <c r="CU53" s="261"/>
      <c r="CV53" s="261"/>
      <c r="CW53" s="261"/>
      <c r="CX53" s="261"/>
      <c r="CY53" s="261"/>
      <c r="CZ53" s="261"/>
      <c r="DA53" s="261"/>
      <c r="DB53" s="261"/>
      <c r="DC53" s="261"/>
      <c r="DD53" s="261"/>
      <c r="DE53" s="261"/>
      <c r="DF53" s="261"/>
      <c r="DG53" s="261"/>
      <c r="DH53" s="261"/>
      <c r="DI53" s="261"/>
      <c r="DJ53" s="261"/>
      <c r="DK53" s="261"/>
      <c r="DL53" s="261"/>
      <c r="DM53" s="261"/>
      <c r="DN53" s="261"/>
      <c r="DO53" s="261"/>
      <c r="DP53" s="261"/>
      <c r="DQ53" s="261"/>
      <c r="DR53" s="261"/>
      <c r="DS53" s="261"/>
      <c r="DT53" s="261"/>
      <c r="DU53" s="261"/>
      <c r="DV53" s="261"/>
      <c r="DW53" s="261"/>
      <c r="DX53" s="261"/>
      <c r="DY53" s="261"/>
      <c r="DZ53" s="261"/>
      <c r="EA53" s="261"/>
      <c r="EB53" s="261"/>
      <c r="EC53" s="261"/>
      <c r="ED53" s="261"/>
      <c r="EE53" s="261"/>
      <c r="EF53" s="261"/>
      <c r="EG53" s="261"/>
      <c r="EH53" s="261"/>
      <c r="EI53" s="261"/>
      <c r="EJ53" s="261"/>
      <c r="EK53" s="261"/>
      <c r="EL53" s="261"/>
      <c r="EM53" s="261"/>
      <c r="EN53" s="261"/>
      <c r="EO53" s="261"/>
      <c r="EP53" s="261"/>
      <c r="EQ53" s="261"/>
      <c r="ER53" s="261"/>
      <c r="ES53" s="261"/>
      <c r="ET53" s="261"/>
      <c r="EU53" s="261"/>
      <c r="EV53" s="261"/>
      <c r="EW53" s="261"/>
      <c r="EX53" s="261"/>
      <c r="EY53" s="261"/>
      <c r="EZ53" s="261"/>
      <c r="FA53" s="261"/>
      <c r="FB53" s="261"/>
      <c r="FC53" s="261"/>
      <c r="FD53" s="261"/>
      <c r="FE53" s="261"/>
      <c r="FF53" s="261"/>
      <c r="FG53" s="261"/>
      <c r="FH53" s="261"/>
      <c r="FI53" s="261"/>
      <c r="FJ53" s="261"/>
      <c r="FK53" s="261"/>
      <c r="FL53" s="261"/>
      <c r="FM53" s="261"/>
      <c r="FN53" s="261"/>
      <c r="FO53" s="261"/>
      <c r="FP53" s="261"/>
      <c r="FQ53" s="261"/>
      <c r="FR53" s="261"/>
      <c r="FS53" s="261"/>
      <c r="FT53" s="261"/>
      <c r="FU53" s="261"/>
      <c r="FV53" s="261"/>
      <c r="FW53" s="261"/>
      <c r="FX53" s="261"/>
      <c r="FY53" s="261"/>
      <c r="FZ53" s="261"/>
      <c r="GA53" s="261"/>
      <c r="GB53" s="261"/>
      <c r="GC53" s="261"/>
      <c r="GD53" s="261"/>
      <c r="GE53" s="261"/>
      <c r="GF53" s="261"/>
      <c r="GG53" s="261"/>
      <c r="GH53" s="261"/>
      <c r="GI53" s="261"/>
      <c r="GJ53" s="261"/>
      <c r="GK53" s="261"/>
      <c r="GL53" s="261"/>
      <c r="GM53" s="261"/>
      <c r="GN53" s="261"/>
      <c r="GO53" s="261"/>
      <c r="GP53" s="261"/>
      <c r="GQ53" s="261"/>
      <c r="GR53" s="261"/>
      <c r="GS53" s="261"/>
      <c r="GT53" s="261"/>
      <c r="GU53" s="261"/>
      <c r="GV53" s="261"/>
      <c r="GW53" s="261"/>
      <c r="GX53" s="261"/>
      <c r="GY53" s="261"/>
      <c r="GZ53" s="261"/>
      <c r="HA53" s="261"/>
      <c r="HB53" s="261"/>
      <c r="HC53" s="261"/>
      <c r="HD53" s="261"/>
      <c r="HE53" s="261"/>
      <c r="HF53" s="261"/>
      <c r="HG53" s="261"/>
      <c r="HH53" s="261"/>
      <c r="HI53" s="261"/>
      <c r="HJ53" s="261"/>
      <c r="HK53" s="261"/>
      <c r="HL53" s="261"/>
      <c r="HM53" s="261"/>
      <c r="HN53" s="261"/>
      <c r="HO53" s="261"/>
      <c r="HP53" s="261"/>
      <c r="HQ53" s="261"/>
      <c r="HR53" s="261"/>
      <c r="HS53" s="261"/>
      <c r="HT53" s="261"/>
      <c r="HU53" s="261"/>
      <c r="HV53" s="261"/>
      <c r="HW53" s="261"/>
      <c r="HX53" s="261"/>
      <c r="HY53" s="261"/>
      <c r="HZ53" s="261"/>
      <c r="IA53" s="261"/>
      <c r="IB53" s="261"/>
    </row>
    <row r="54" spans="1:236" s="264" customFormat="1" ht="15.75" customHeight="1">
      <c r="A54" s="339"/>
      <c r="B54" s="335" t="s">
        <v>2792</v>
      </c>
      <c r="C54" s="382"/>
      <c r="D54" s="341" t="s">
        <v>282</v>
      </c>
      <c r="E54" s="330">
        <v>17300</v>
      </c>
      <c r="F54" s="330">
        <v>17500</v>
      </c>
      <c r="G54" s="330">
        <v>16400</v>
      </c>
      <c r="H54" s="330">
        <v>16400</v>
      </c>
      <c r="I54" s="330">
        <v>17000</v>
      </c>
      <c r="J54" s="330">
        <v>18500</v>
      </c>
      <c r="K54" s="330">
        <v>17000</v>
      </c>
      <c r="L54" s="330">
        <v>18500</v>
      </c>
      <c r="M54" s="330">
        <v>19000</v>
      </c>
      <c r="N54" s="330">
        <v>19000</v>
      </c>
      <c r="O54" s="330">
        <v>19000</v>
      </c>
      <c r="P54" s="263"/>
      <c r="Q54" s="261"/>
      <c r="R54" s="261"/>
      <c r="S54" s="261"/>
      <c r="T54" s="261"/>
      <c r="U54" s="261"/>
      <c r="V54" s="261"/>
      <c r="W54" s="261"/>
      <c r="X54" s="261"/>
      <c r="Y54" s="261"/>
      <c r="Z54" s="261"/>
      <c r="AA54" s="261"/>
      <c r="AB54" s="261"/>
      <c r="AC54" s="261"/>
      <c r="AD54" s="261"/>
      <c r="AE54" s="261"/>
      <c r="AF54" s="261"/>
      <c r="AG54" s="261"/>
      <c r="AH54" s="261"/>
      <c r="AI54" s="261"/>
      <c r="AJ54" s="261"/>
      <c r="AK54" s="261"/>
      <c r="AL54" s="261"/>
      <c r="AM54" s="261"/>
      <c r="AN54" s="261"/>
      <c r="AO54" s="261"/>
      <c r="AP54" s="261"/>
      <c r="AQ54" s="261"/>
      <c r="AR54" s="261"/>
      <c r="AS54" s="261"/>
      <c r="AT54" s="261"/>
      <c r="AU54" s="261"/>
      <c r="AV54" s="261"/>
      <c r="AW54" s="261"/>
      <c r="AX54" s="261"/>
      <c r="AY54" s="261"/>
      <c r="AZ54" s="261"/>
      <c r="BA54" s="261"/>
      <c r="BB54" s="261"/>
      <c r="BC54" s="261"/>
      <c r="BD54" s="261"/>
      <c r="BE54" s="261"/>
      <c r="BF54" s="261"/>
      <c r="BG54" s="261"/>
      <c r="BH54" s="261"/>
      <c r="BI54" s="261"/>
      <c r="BJ54" s="261"/>
      <c r="BK54" s="261"/>
      <c r="BL54" s="261"/>
      <c r="BM54" s="261"/>
      <c r="BN54" s="261"/>
      <c r="BO54" s="261"/>
      <c r="BP54" s="261"/>
      <c r="BQ54" s="261"/>
      <c r="BR54" s="261"/>
      <c r="BS54" s="261"/>
      <c r="BT54" s="261"/>
      <c r="BU54" s="261"/>
      <c r="BV54" s="261"/>
      <c r="BW54" s="261"/>
      <c r="BX54" s="261"/>
      <c r="BY54" s="261"/>
      <c r="BZ54" s="261"/>
      <c r="CA54" s="261"/>
      <c r="CB54" s="261"/>
      <c r="CC54" s="261"/>
      <c r="CD54" s="261"/>
      <c r="CE54" s="261"/>
      <c r="CF54" s="261"/>
      <c r="CG54" s="261"/>
      <c r="CH54" s="261"/>
      <c r="CI54" s="261"/>
      <c r="CJ54" s="261"/>
      <c r="CK54" s="261"/>
      <c r="CL54" s="261"/>
      <c r="CM54" s="261"/>
      <c r="CN54" s="261"/>
      <c r="CO54" s="261"/>
      <c r="CP54" s="261"/>
      <c r="CQ54" s="261"/>
      <c r="CR54" s="261"/>
      <c r="CS54" s="261"/>
      <c r="CT54" s="261"/>
      <c r="CU54" s="261"/>
      <c r="CV54" s="261"/>
      <c r="CW54" s="261"/>
      <c r="CX54" s="261"/>
      <c r="CY54" s="261"/>
      <c r="CZ54" s="261"/>
      <c r="DA54" s="261"/>
      <c r="DB54" s="261"/>
      <c r="DC54" s="261"/>
      <c r="DD54" s="261"/>
      <c r="DE54" s="261"/>
      <c r="DF54" s="261"/>
      <c r="DG54" s="261"/>
      <c r="DH54" s="261"/>
      <c r="DI54" s="261"/>
      <c r="DJ54" s="261"/>
      <c r="DK54" s="261"/>
      <c r="DL54" s="261"/>
      <c r="DM54" s="261"/>
      <c r="DN54" s="261"/>
      <c r="DO54" s="261"/>
      <c r="DP54" s="261"/>
      <c r="DQ54" s="261"/>
      <c r="DR54" s="261"/>
      <c r="DS54" s="261"/>
      <c r="DT54" s="261"/>
      <c r="DU54" s="261"/>
      <c r="DV54" s="261"/>
      <c r="DW54" s="261"/>
      <c r="DX54" s="261"/>
      <c r="DY54" s="261"/>
      <c r="DZ54" s="261"/>
      <c r="EA54" s="261"/>
      <c r="EB54" s="261"/>
      <c r="EC54" s="261"/>
      <c r="ED54" s="261"/>
      <c r="EE54" s="261"/>
      <c r="EF54" s="261"/>
      <c r="EG54" s="261"/>
      <c r="EH54" s="261"/>
      <c r="EI54" s="261"/>
      <c r="EJ54" s="261"/>
      <c r="EK54" s="261"/>
      <c r="EL54" s="261"/>
      <c r="EM54" s="261"/>
      <c r="EN54" s="261"/>
      <c r="EO54" s="261"/>
      <c r="EP54" s="261"/>
      <c r="EQ54" s="261"/>
      <c r="ER54" s="261"/>
      <c r="ES54" s="261"/>
      <c r="ET54" s="261"/>
      <c r="EU54" s="261"/>
      <c r="EV54" s="261"/>
      <c r="EW54" s="261"/>
      <c r="EX54" s="261"/>
      <c r="EY54" s="261"/>
      <c r="EZ54" s="261"/>
      <c r="FA54" s="261"/>
      <c r="FB54" s="261"/>
      <c r="FC54" s="261"/>
      <c r="FD54" s="261"/>
      <c r="FE54" s="261"/>
      <c r="FF54" s="261"/>
      <c r="FG54" s="261"/>
      <c r="FH54" s="261"/>
      <c r="FI54" s="261"/>
      <c r="FJ54" s="261"/>
      <c r="FK54" s="261"/>
      <c r="FL54" s="261"/>
      <c r="FM54" s="261"/>
      <c r="FN54" s="261"/>
      <c r="FO54" s="261"/>
      <c r="FP54" s="261"/>
      <c r="FQ54" s="261"/>
      <c r="FR54" s="261"/>
      <c r="FS54" s="261"/>
      <c r="FT54" s="261"/>
      <c r="FU54" s="261"/>
      <c r="FV54" s="261"/>
      <c r="FW54" s="261"/>
      <c r="FX54" s="261"/>
      <c r="FY54" s="261"/>
      <c r="FZ54" s="261"/>
      <c r="GA54" s="261"/>
      <c r="GB54" s="261"/>
      <c r="GC54" s="261"/>
      <c r="GD54" s="261"/>
      <c r="GE54" s="261"/>
      <c r="GF54" s="261"/>
      <c r="GG54" s="261"/>
      <c r="GH54" s="261"/>
      <c r="GI54" s="261"/>
      <c r="GJ54" s="261"/>
      <c r="GK54" s="261"/>
      <c r="GL54" s="261"/>
      <c r="GM54" s="261"/>
      <c r="GN54" s="261"/>
      <c r="GO54" s="261"/>
      <c r="GP54" s="261"/>
      <c r="GQ54" s="261"/>
      <c r="GR54" s="261"/>
      <c r="GS54" s="261"/>
      <c r="GT54" s="261"/>
      <c r="GU54" s="261"/>
      <c r="GV54" s="261"/>
      <c r="GW54" s="261"/>
      <c r="GX54" s="261"/>
      <c r="GY54" s="261"/>
      <c r="GZ54" s="261"/>
      <c r="HA54" s="261"/>
      <c r="HB54" s="261"/>
      <c r="HC54" s="261"/>
      <c r="HD54" s="261"/>
      <c r="HE54" s="261"/>
      <c r="HF54" s="261"/>
      <c r="HG54" s="261"/>
      <c r="HH54" s="261"/>
      <c r="HI54" s="261"/>
      <c r="HJ54" s="261"/>
      <c r="HK54" s="261"/>
      <c r="HL54" s="261"/>
      <c r="HM54" s="261"/>
      <c r="HN54" s="261"/>
      <c r="HO54" s="261"/>
      <c r="HP54" s="261"/>
      <c r="HQ54" s="261"/>
      <c r="HR54" s="261"/>
      <c r="HS54" s="261"/>
      <c r="HT54" s="261"/>
      <c r="HU54" s="261"/>
      <c r="HV54" s="261"/>
      <c r="HW54" s="261"/>
      <c r="HX54" s="261"/>
      <c r="HY54" s="261"/>
      <c r="HZ54" s="261"/>
      <c r="IA54" s="261"/>
      <c r="IB54" s="261"/>
    </row>
    <row r="55" spans="1:236" s="264" customFormat="1" ht="15.75" customHeight="1">
      <c r="A55" s="339"/>
      <c r="B55" s="335" t="s">
        <v>2793</v>
      </c>
      <c r="C55" s="382"/>
      <c r="D55" s="341" t="s">
        <v>282</v>
      </c>
      <c r="E55" s="330">
        <v>17300</v>
      </c>
      <c r="F55" s="330">
        <v>17500</v>
      </c>
      <c r="G55" s="330">
        <v>16400</v>
      </c>
      <c r="H55" s="330">
        <v>16400</v>
      </c>
      <c r="I55" s="330">
        <v>17000</v>
      </c>
      <c r="J55" s="330">
        <v>18500</v>
      </c>
      <c r="K55" s="330">
        <v>17000</v>
      </c>
      <c r="L55" s="330">
        <v>18500</v>
      </c>
      <c r="M55" s="330">
        <v>19000</v>
      </c>
      <c r="N55" s="330">
        <v>19000</v>
      </c>
      <c r="O55" s="330">
        <v>19000</v>
      </c>
      <c r="P55" s="263"/>
      <c r="Q55" s="261"/>
      <c r="R55" s="261"/>
      <c r="S55" s="261"/>
      <c r="T55" s="261"/>
      <c r="U55" s="261"/>
      <c r="V55" s="261"/>
      <c r="W55" s="261"/>
      <c r="X55" s="261"/>
      <c r="Y55" s="261"/>
      <c r="Z55" s="261"/>
      <c r="AA55" s="261"/>
      <c r="AB55" s="261"/>
      <c r="AC55" s="261"/>
      <c r="AD55" s="261"/>
      <c r="AE55" s="261"/>
      <c r="AF55" s="261"/>
      <c r="AG55" s="261"/>
      <c r="AH55" s="261"/>
      <c r="AI55" s="261"/>
      <c r="AJ55" s="261"/>
      <c r="AK55" s="261"/>
      <c r="AL55" s="261"/>
      <c r="AM55" s="261"/>
      <c r="AN55" s="261"/>
      <c r="AO55" s="261"/>
      <c r="AP55" s="261"/>
      <c r="AQ55" s="261"/>
      <c r="AR55" s="261"/>
      <c r="AS55" s="261"/>
      <c r="AT55" s="261"/>
      <c r="AU55" s="261"/>
      <c r="AV55" s="261"/>
      <c r="AW55" s="261"/>
      <c r="AX55" s="261"/>
      <c r="AY55" s="261"/>
      <c r="AZ55" s="261"/>
      <c r="BA55" s="261"/>
      <c r="BB55" s="261"/>
      <c r="BC55" s="261"/>
      <c r="BD55" s="261"/>
      <c r="BE55" s="261"/>
      <c r="BF55" s="261"/>
      <c r="BG55" s="261"/>
      <c r="BH55" s="261"/>
      <c r="BI55" s="261"/>
      <c r="BJ55" s="261"/>
      <c r="BK55" s="261"/>
      <c r="BL55" s="261"/>
      <c r="BM55" s="261"/>
      <c r="BN55" s="261"/>
      <c r="BO55" s="261"/>
      <c r="BP55" s="261"/>
      <c r="BQ55" s="261"/>
      <c r="BR55" s="261"/>
      <c r="BS55" s="261"/>
      <c r="BT55" s="261"/>
      <c r="BU55" s="261"/>
      <c r="BV55" s="261"/>
      <c r="BW55" s="261"/>
      <c r="BX55" s="261"/>
      <c r="BY55" s="261"/>
      <c r="BZ55" s="261"/>
      <c r="CA55" s="261"/>
      <c r="CB55" s="261"/>
      <c r="CC55" s="261"/>
      <c r="CD55" s="261"/>
      <c r="CE55" s="261"/>
      <c r="CF55" s="261"/>
      <c r="CG55" s="261"/>
      <c r="CH55" s="261"/>
      <c r="CI55" s="261"/>
      <c r="CJ55" s="261"/>
      <c r="CK55" s="261"/>
      <c r="CL55" s="261"/>
      <c r="CM55" s="261"/>
      <c r="CN55" s="261"/>
      <c r="CO55" s="261"/>
      <c r="CP55" s="261"/>
      <c r="CQ55" s="261"/>
      <c r="CR55" s="261"/>
      <c r="CS55" s="261"/>
      <c r="CT55" s="261"/>
      <c r="CU55" s="261"/>
      <c r="CV55" s="261"/>
      <c r="CW55" s="261"/>
      <c r="CX55" s="261"/>
      <c r="CY55" s="261"/>
      <c r="CZ55" s="261"/>
      <c r="DA55" s="261"/>
      <c r="DB55" s="261"/>
      <c r="DC55" s="261"/>
      <c r="DD55" s="261"/>
      <c r="DE55" s="261"/>
      <c r="DF55" s="261"/>
      <c r="DG55" s="261"/>
      <c r="DH55" s="261"/>
      <c r="DI55" s="261"/>
      <c r="DJ55" s="261"/>
      <c r="DK55" s="261"/>
      <c r="DL55" s="261"/>
      <c r="DM55" s="261"/>
      <c r="DN55" s="261"/>
      <c r="DO55" s="261"/>
      <c r="DP55" s="261"/>
      <c r="DQ55" s="261"/>
      <c r="DR55" s="261"/>
      <c r="DS55" s="261"/>
      <c r="DT55" s="261"/>
      <c r="DU55" s="261"/>
      <c r="DV55" s="261"/>
      <c r="DW55" s="261"/>
      <c r="DX55" s="261"/>
      <c r="DY55" s="261"/>
      <c r="DZ55" s="261"/>
      <c r="EA55" s="261"/>
      <c r="EB55" s="261"/>
      <c r="EC55" s="261"/>
      <c r="ED55" s="261"/>
      <c r="EE55" s="261"/>
      <c r="EF55" s="261"/>
      <c r="EG55" s="261"/>
      <c r="EH55" s="261"/>
      <c r="EI55" s="261"/>
      <c r="EJ55" s="261"/>
      <c r="EK55" s="261"/>
      <c r="EL55" s="261"/>
      <c r="EM55" s="261"/>
      <c r="EN55" s="261"/>
      <c r="EO55" s="261"/>
      <c r="EP55" s="261"/>
      <c r="EQ55" s="261"/>
      <c r="ER55" s="261"/>
      <c r="ES55" s="261"/>
      <c r="ET55" s="261"/>
      <c r="EU55" s="261"/>
      <c r="EV55" s="261"/>
      <c r="EW55" s="261"/>
      <c r="EX55" s="261"/>
      <c r="EY55" s="261"/>
      <c r="EZ55" s="261"/>
      <c r="FA55" s="261"/>
      <c r="FB55" s="261"/>
      <c r="FC55" s="261"/>
      <c r="FD55" s="261"/>
      <c r="FE55" s="261"/>
      <c r="FF55" s="261"/>
      <c r="FG55" s="261"/>
      <c r="FH55" s="261"/>
      <c r="FI55" s="261"/>
      <c r="FJ55" s="261"/>
      <c r="FK55" s="261"/>
      <c r="FL55" s="261"/>
      <c r="FM55" s="261"/>
      <c r="FN55" s="261"/>
      <c r="FO55" s="261"/>
      <c r="FP55" s="261"/>
      <c r="FQ55" s="261"/>
      <c r="FR55" s="261"/>
      <c r="FS55" s="261"/>
      <c r="FT55" s="261"/>
      <c r="FU55" s="261"/>
      <c r="FV55" s="261"/>
      <c r="FW55" s="261"/>
      <c r="FX55" s="261"/>
      <c r="FY55" s="261"/>
      <c r="FZ55" s="261"/>
      <c r="GA55" s="261"/>
      <c r="GB55" s="261"/>
      <c r="GC55" s="261"/>
      <c r="GD55" s="261"/>
      <c r="GE55" s="261"/>
      <c r="GF55" s="261"/>
      <c r="GG55" s="261"/>
      <c r="GH55" s="261"/>
      <c r="GI55" s="261"/>
      <c r="GJ55" s="261"/>
      <c r="GK55" s="261"/>
      <c r="GL55" s="261"/>
      <c r="GM55" s="261"/>
      <c r="GN55" s="261"/>
      <c r="GO55" s="261"/>
      <c r="GP55" s="261"/>
      <c r="GQ55" s="261"/>
      <c r="GR55" s="261"/>
      <c r="GS55" s="261"/>
      <c r="GT55" s="261"/>
      <c r="GU55" s="261"/>
      <c r="GV55" s="261"/>
      <c r="GW55" s="261"/>
      <c r="GX55" s="261"/>
      <c r="GY55" s="261"/>
      <c r="GZ55" s="261"/>
      <c r="HA55" s="261"/>
      <c r="HB55" s="261"/>
      <c r="HC55" s="261"/>
      <c r="HD55" s="261"/>
      <c r="HE55" s="261"/>
      <c r="HF55" s="261"/>
      <c r="HG55" s="261"/>
      <c r="HH55" s="261"/>
      <c r="HI55" s="261"/>
      <c r="HJ55" s="261"/>
      <c r="HK55" s="261"/>
      <c r="HL55" s="261"/>
      <c r="HM55" s="261"/>
      <c r="HN55" s="261"/>
      <c r="HO55" s="261"/>
      <c r="HP55" s="261"/>
      <c r="HQ55" s="261"/>
      <c r="HR55" s="261"/>
      <c r="HS55" s="261"/>
      <c r="HT55" s="261"/>
      <c r="HU55" s="261"/>
      <c r="HV55" s="261"/>
      <c r="HW55" s="261"/>
      <c r="HX55" s="261"/>
      <c r="HY55" s="261"/>
      <c r="HZ55" s="261"/>
      <c r="IA55" s="261"/>
      <c r="IB55" s="261"/>
    </row>
    <row r="56" spans="1:236" s="264" customFormat="1" ht="15.75" customHeight="1">
      <c r="A56" s="339"/>
      <c r="B56" s="335" t="s">
        <v>2794</v>
      </c>
      <c r="C56" s="382"/>
      <c r="D56" s="341" t="s">
        <v>281</v>
      </c>
      <c r="E56" s="330">
        <v>17300</v>
      </c>
      <c r="F56" s="330">
        <v>17500</v>
      </c>
      <c r="G56" s="330">
        <v>16400</v>
      </c>
      <c r="H56" s="330">
        <v>16400</v>
      </c>
      <c r="I56" s="330">
        <v>17000</v>
      </c>
      <c r="J56" s="330">
        <v>18500</v>
      </c>
      <c r="K56" s="330">
        <v>17000</v>
      </c>
      <c r="L56" s="330">
        <v>18500</v>
      </c>
      <c r="M56" s="330">
        <v>19000</v>
      </c>
      <c r="N56" s="330">
        <v>19000</v>
      </c>
      <c r="O56" s="330">
        <v>19000</v>
      </c>
      <c r="P56" s="263"/>
      <c r="Q56" s="261"/>
      <c r="R56" s="261"/>
      <c r="S56" s="261"/>
      <c r="T56" s="261"/>
      <c r="U56" s="261"/>
      <c r="V56" s="261"/>
      <c r="W56" s="261"/>
      <c r="X56" s="261"/>
      <c r="Y56" s="261"/>
      <c r="Z56" s="261"/>
      <c r="AA56" s="261"/>
      <c r="AB56" s="261"/>
      <c r="AC56" s="261"/>
      <c r="AD56" s="261"/>
      <c r="AE56" s="261"/>
      <c r="AF56" s="261"/>
      <c r="AG56" s="261"/>
      <c r="AH56" s="261"/>
      <c r="AI56" s="261"/>
      <c r="AJ56" s="261"/>
      <c r="AK56" s="261"/>
      <c r="AL56" s="261"/>
      <c r="AM56" s="261"/>
      <c r="AN56" s="261"/>
      <c r="AO56" s="261"/>
      <c r="AP56" s="261"/>
      <c r="AQ56" s="261"/>
      <c r="AR56" s="261"/>
      <c r="AS56" s="261"/>
      <c r="AT56" s="261"/>
      <c r="AU56" s="261"/>
      <c r="AV56" s="261"/>
      <c r="AW56" s="261"/>
      <c r="AX56" s="261"/>
      <c r="AY56" s="261"/>
      <c r="AZ56" s="261"/>
      <c r="BA56" s="261"/>
      <c r="BB56" s="261"/>
      <c r="BC56" s="261"/>
      <c r="BD56" s="261"/>
      <c r="BE56" s="261"/>
      <c r="BF56" s="261"/>
      <c r="BG56" s="261"/>
      <c r="BH56" s="261"/>
      <c r="BI56" s="261"/>
      <c r="BJ56" s="261"/>
      <c r="BK56" s="261"/>
      <c r="BL56" s="261"/>
      <c r="BM56" s="261"/>
      <c r="BN56" s="261"/>
      <c r="BO56" s="261"/>
      <c r="BP56" s="261"/>
      <c r="BQ56" s="261"/>
      <c r="BR56" s="261"/>
      <c r="BS56" s="261"/>
      <c r="BT56" s="261"/>
      <c r="BU56" s="261"/>
      <c r="BV56" s="261"/>
      <c r="BW56" s="261"/>
      <c r="BX56" s="261"/>
      <c r="BY56" s="261"/>
      <c r="BZ56" s="261"/>
      <c r="CA56" s="261"/>
      <c r="CB56" s="261"/>
      <c r="CC56" s="261"/>
      <c r="CD56" s="261"/>
      <c r="CE56" s="261"/>
      <c r="CF56" s="261"/>
      <c r="CG56" s="261"/>
      <c r="CH56" s="261"/>
      <c r="CI56" s="261"/>
      <c r="CJ56" s="261"/>
      <c r="CK56" s="261"/>
      <c r="CL56" s="261"/>
      <c r="CM56" s="261"/>
      <c r="CN56" s="261"/>
      <c r="CO56" s="261"/>
      <c r="CP56" s="261"/>
      <c r="CQ56" s="261"/>
      <c r="CR56" s="261"/>
      <c r="CS56" s="261"/>
      <c r="CT56" s="261"/>
      <c r="CU56" s="261"/>
      <c r="CV56" s="261"/>
      <c r="CW56" s="261"/>
      <c r="CX56" s="261"/>
      <c r="CY56" s="261"/>
      <c r="CZ56" s="261"/>
      <c r="DA56" s="261"/>
      <c r="DB56" s="261"/>
      <c r="DC56" s="261"/>
      <c r="DD56" s="261"/>
      <c r="DE56" s="261"/>
      <c r="DF56" s="261"/>
      <c r="DG56" s="261"/>
      <c r="DH56" s="261"/>
      <c r="DI56" s="261"/>
      <c r="DJ56" s="261"/>
      <c r="DK56" s="261"/>
      <c r="DL56" s="261"/>
      <c r="DM56" s="261"/>
      <c r="DN56" s="261"/>
      <c r="DO56" s="261"/>
      <c r="DP56" s="261"/>
      <c r="DQ56" s="261"/>
      <c r="DR56" s="261"/>
      <c r="DS56" s="261"/>
      <c r="DT56" s="261"/>
      <c r="DU56" s="261"/>
      <c r="DV56" s="261"/>
      <c r="DW56" s="261"/>
      <c r="DX56" s="261"/>
      <c r="DY56" s="261"/>
      <c r="DZ56" s="261"/>
      <c r="EA56" s="261"/>
      <c r="EB56" s="261"/>
      <c r="EC56" s="261"/>
      <c r="ED56" s="261"/>
      <c r="EE56" s="261"/>
      <c r="EF56" s="261"/>
      <c r="EG56" s="261"/>
      <c r="EH56" s="261"/>
      <c r="EI56" s="261"/>
      <c r="EJ56" s="261"/>
      <c r="EK56" s="261"/>
      <c r="EL56" s="261"/>
      <c r="EM56" s="261"/>
      <c r="EN56" s="261"/>
      <c r="EO56" s="261"/>
      <c r="EP56" s="261"/>
      <c r="EQ56" s="261"/>
      <c r="ER56" s="261"/>
      <c r="ES56" s="261"/>
      <c r="ET56" s="261"/>
      <c r="EU56" s="261"/>
      <c r="EV56" s="261"/>
      <c r="EW56" s="261"/>
      <c r="EX56" s="261"/>
      <c r="EY56" s="261"/>
      <c r="EZ56" s="261"/>
      <c r="FA56" s="261"/>
      <c r="FB56" s="261"/>
      <c r="FC56" s="261"/>
      <c r="FD56" s="261"/>
      <c r="FE56" s="261"/>
      <c r="FF56" s="261"/>
      <c r="FG56" s="261"/>
      <c r="FH56" s="261"/>
      <c r="FI56" s="261"/>
      <c r="FJ56" s="261"/>
      <c r="FK56" s="261"/>
      <c r="FL56" s="261"/>
      <c r="FM56" s="261"/>
      <c r="FN56" s="261"/>
      <c r="FO56" s="261"/>
      <c r="FP56" s="261"/>
      <c r="FQ56" s="261"/>
      <c r="FR56" s="261"/>
      <c r="FS56" s="261"/>
      <c r="FT56" s="261"/>
      <c r="FU56" s="261"/>
      <c r="FV56" s="261"/>
      <c r="FW56" s="261"/>
      <c r="FX56" s="261"/>
      <c r="FY56" s="261"/>
      <c r="FZ56" s="261"/>
      <c r="GA56" s="261"/>
      <c r="GB56" s="261"/>
      <c r="GC56" s="261"/>
      <c r="GD56" s="261"/>
      <c r="GE56" s="261"/>
      <c r="GF56" s="261"/>
      <c r="GG56" s="261"/>
      <c r="GH56" s="261"/>
      <c r="GI56" s="261"/>
      <c r="GJ56" s="261"/>
      <c r="GK56" s="261"/>
      <c r="GL56" s="261"/>
      <c r="GM56" s="261"/>
      <c r="GN56" s="261"/>
      <c r="GO56" s="261"/>
      <c r="GP56" s="261"/>
      <c r="GQ56" s="261"/>
      <c r="GR56" s="261"/>
      <c r="GS56" s="261"/>
      <c r="GT56" s="261"/>
      <c r="GU56" s="261"/>
      <c r="GV56" s="261"/>
      <c r="GW56" s="261"/>
      <c r="GX56" s="261"/>
      <c r="GY56" s="261"/>
      <c r="GZ56" s="261"/>
      <c r="HA56" s="261"/>
      <c r="HB56" s="261"/>
      <c r="HC56" s="261"/>
      <c r="HD56" s="261"/>
      <c r="HE56" s="261"/>
      <c r="HF56" s="261"/>
      <c r="HG56" s="261"/>
      <c r="HH56" s="261"/>
      <c r="HI56" s="261"/>
      <c r="HJ56" s="261"/>
      <c r="HK56" s="261"/>
      <c r="HL56" s="261"/>
      <c r="HM56" s="261"/>
      <c r="HN56" s="261"/>
      <c r="HO56" s="261"/>
      <c r="HP56" s="261"/>
      <c r="HQ56" s="261"/>
      <c r="HR56" s="261"/>
      <c r="HS56" s="261"/>
      <c r="HT56" s="261"/>
      <c r="HU56" s="261"/>
      <c r="HV56" s="261"/>
      <c r="HW56" s="261"/>
      <c r="HX56" s="261"/>
      <c r="HY56" s="261"/>
      <c r="HZ56" s="261"/>
      <c r="IA56" s="261"/>
      <c r="IB56" s="261"/>
    </row>
    <row r="57" spans="1:236" s="264" customFormat="1" ht="15.75" customHeight="1">
      <c r="A57" s="339"/>
      <c r="B57" s="335" t="s">
        <v>2795</v>
      </c>
      <c r="C57" s="382"/>
      <c r="D57" s="341" t="s">
        <v>281</v>
      </c>
      <c r="E57" s="330">
        <v>17300</v>
      </c>
      <c r="F57" s="330">
        <v>17500</v>
      </c>
      <c r="G57" s="330">
        <v>16400</v>
      </c>
      <c r="H57" s="330">
        <v>16400</v>
      </c>
      <c r="I57" s="330">
        <v>17000</v>
      </c>
      <c r="J57" s="330">
        <v>18500</v>
      </c>
      <c r="K57" s="330">
        <v>17000</v>
      </c>
      <c r="L57" s="330">
        <v>18500</v>
      </c>
      <c r="M57" s="330">
        <v>19000</v>
      </c>
      <c r="N57" s="330">
        <v>19000</v>
      </c>
      <c r="O57" s="330">
        <v>19000</v>
      </c>
      <c r="P57" s="263"/>
      <c r="Q57" s="261"/>
      <c r="R57" s="261"/>
      <c r="S57" s="261"/>
      <c r="T57" s="261"/>
      <c r="U57" s="261"/>
      <c r="V57" s="261"/>
      <c r="W57" s="261"/>
      <c r="X57" s="261"/>
      <c r="Y57" s="261"/>
      <c r="Z57" s="261"/>
      <c r="AA57" s="261"/>
      <c r="AB57" s="261"/>
      <c r="AC57" s="261"/>
      <c r="AD57" s="261"/>
      <c r="AE57" s="261"/>
      <c r="AF57" s="261"/>
      <c r="AG57" s="261"/>
      <c r="AH57" s="261"/>
      <c r="AI57" s="261"/>
      <c r="AJ57" s="261"/>
      <c r="AK57" s="261"/>
      <c r="AL57" s="261"/>
      <c r="AM57" s="261"/>
      <c r="AN57" s="261"/>
      <c r="AO57" s="261"/>
      <c r="AP57" s="261"/>
      <c r="AQ57" s="261"/>
      <c r="AR57" s="261"/>
      <c r="AS57" s="261"/>
      <c r="AT57" s="261"/>
      <c r="AU57" s="261"/>
      <c r="AV57" s="261"/>
      <c r="AW57" s="261"/>
      <c r="AX57" s="261"/>
      <c r="AY57" s="261"/>
      <c r="AZ57" s="261"/>
      <c r="BA57" s="261"/>
      <c r="BB57" s="261"/>
      <c r="BC57" s="261"/>
      <c r="BD57" s="261"/>
      <c r="BE57" s="261"/>
      <c r="BF57" s="261"/>
      <c r="BG57" s="261"/>
      <c r="BH57" s="261"/>
      <c r="BI57" s="261"/>
      <c r="BJ57" s="261"/>
      <c r="BK57" s="261"/>
      <c r="BL57" s="261"/>
      <c r="BM57" s="261"/>
      <c r="BN57" s="261"/>
      <c r="BO57" s="261"/>
      <c r="BP57" s="261"/>
      <c r="BQ57" s="261"/>
      <c r="BR57" s="261"/>
      <c r="BS57" s="261"/>
      <c r="BT57" s="261"/>
      <c r="BU57" s="261"/>
      <c r="BV57" s="261"/>
      <c r="BW57" s="261"/>
      <c r="BX57" s="261"/>
      <c r="BY57" s="261"/>
      <c r="BZ57" s="261"/>
      <c r="CA57" s="261"/>
      <c r="CB57" s="261"/>
      <c r="CC57" s="261"/>
      <c r="CD57" s="261"/>
      <c r="CE57" s="261"/>
      <c r="CF57" s="261"/>
      <c r="CG57" s="261"/>
      <c r="CH57" s="261"/>
      <c r="CI57" s="261"/>
      <c r="CJ57" s="261"/>
      <c r="CK57" s="261"/>
      <c r="CL57" s="261"/>
      <c r="CM57" s="261"/>
      <c r="CN57" s="261"/>
      <c r="CO57" s="261"/>
      <c r="CP57" s="261"/>
      <c r="CQ57" s="261"/>
      <c r="CR57" s="261"/>
      <c r="CS57" s="261"/>
      <c r="CT57" s="261"/>
      <c r="CU57" s="261"/>
      <c r="CV57" s="261"/>
      <c r="CW57" s="261"/>
      <c r="CX57" s="261"/>
      <c r="CY57" s="261"/>
      <c r="CZ57" s="261"/>
      <c r="DA57" s="261"/>
      <c r="DB57" s="261"/>
      <c r="DC57" s="261"/>
      <c r="DD57" s="261"/>
      <c r="DE57" s="261"/>
      <c r="DF57" s="261"/>
      <c r="DG57" s="261"/>
      <c r="DH57" s="261"/>
      <c r="DI57" s="261"/>
      <c r="DJ57" s="261"/>
      <c r="DK57" s="261"/>
      <c r="DL57" s="261"/>
      <c r="DM57" s="261"/>
      <c r="DN57" s="261"/>
      <c r="DO57" s="261"/>
      <c r="DP57" s="261"/>
      <c r="DQ57" s="261"/>
      <c r="DR57" s="261"/>
      <c r="DS57" s="261"/>
      <c r="DT57" s="261"/>
      <c r="DU57" s="261"/>
      <c r="DV57" s="261"/>
      <c r="DW57" s="261"/>
      <c r="DX57" s="261"/>
      <c r="DY57" s="261"/>
      <c r="DZ57" s="261"/>
      <c r="EA57" s="261"/>
      <c r="EB57" s="261"/>
      <c r="EC57" s="261"/>
      <c r="ED57" s="261"/>
      <c r="EE57" s="261"/>
      <c r="EF57" s="261"/>
      <c r="EG57" s="261"/>
      <c r="EH57" s="261"/>
      <c r="EI57" s="261"/>
      <c r="EJ57" s="261"/>
      <c r="EK57" s="261"/>
      <c r="EL57" s="261"/>
      <c r="EM57" s="261"/>
      <c r="EN57" s="261"/>
      <c r="EO57" s="261"/>
      <c r="EP57" s="261"/>
      <c r="EQ57" s="261"/>
      <c r="ER57" s="261"/>
      <c r="ES57" s="261"/>
      <c r="ET57" s="261"/>
      <c r="EU57" s="261"/>
      <c r="EV57" s="261"/>
      <c r="EW57" s="261"/>
      <c r="EX57" s="261"/>
      <c r="EY57" s="261"/>
      <c r="EZ57" s="261"/>
      <c r="FA57" s="261"/>
      <c r="FB57" s="261"/>
      <c r="FC57" s="261"/>
      <c r="FD57" s="261"/>
      <c r="FE57" s="261"/>
      <c r="FF57" s="261"/>
      <c r="FG57" s="261"/>
      <c r="FH57" s="261"/>
      <c r="FI57" s="261"/>
      <c r="FJ57" s="261"/>
      <c r="FK57" s="261"/>
      <c r="FL57" s="261"/>
      <c r="FM57" s="261"/>
      <c r="FN57" s="261"/>
      <c r="FO57" s="261"/>
      <c r="FP57" s="261"/>
      <c r="FQ57" s="261"/>
      <c r="FR57" s="261"/>
      <c r="FS57" s="261"/>
      <c r="FT57" s="261"/>
      <c r="FU57" s="261"/>
      <c r="FV57" s="261"/>
      <c r="FW57" s="261"/>
      <c r="FX57" s="261"/>
      <c r="FY57" s="261"/>
      <c r="FZ57" s="261"/>
      <c r="GA57" s="261"/>
      <c r="GB57" s="261"/>
      <c r="GC57" s="261"/>
      <c r="GD57" s="261"/>
      <c r="GE57" s="261"/>
      <c r="GF57" s="261"/>
      <c r="GG57" s="261"/>
      <c r="GH57" s="261"/>
      <c r="GI57" s="261"/>
      <c r="GJ57" s="261"/>
      <c r="GK57" s="261"/>
      <c r="GL57" s="261"/>
      <c r="GM57" s="261"/>
      <c r="GN57" s="261"/>
      <c r="GO57" s="261"/>
      <c r="GP57" s="261"/>
      <c r="GQ57" s="261"/>
      <c r="GR57" s="261"/>
      <c r="GS57" s="261"/>
      <c r="GT57" s="261"/>
      <c r="GU57" s="261"/>
      <c r="GV57" s="261"/>
      <c r="GW57" s="261"/>
      <c r="GX57" s="261"/>
      <c r="GY57" s="261"/>
      <c r="GZ57" s="261"/>
      <c r="HA57" s="261"/>
      <c r="HB57" s="261"/>
      <c r="HC57" s="261"/>
      <c r="HD57" s="261"/>
      <c r="HE57" s="261"/>
      <c r="HF57" s="261"/>
      <c r="HG57" s="261"/>
      <c r="HH57" s="261"/>
      <c r="HI57" s="261"/>
      <c r="HJ57" s="261"/>
      <c r="HK57" s="261"/>
      <c r="HL57" s="261"/>
      <c r="HM57" s="261"/>
      <c r="HN57" s="261"/>
      <c r="HO57" s="261"/>
      <c r="HP57" s="261"/>
      <c r="HQ57" s="261"/>
      <c r="HR57" s="261"/>
      <c r="HS57" s="261"/>
      <c r="HT57" s="261"/>
      <c r="HU57" s="261"/>
      <c r="HV57" s="261"/>
      <c r="HW57" s="261"/>
      <c r="HX57" s="261"/>
      <c r="HY57" s="261"/>
      <c r="HZ57" s="261"/>
      <c r="IA57" s="261"/>
      <c r="IB57" s="261"/>
    </row>
    <row r="58" spans="1:236" s="264" customFormat="1" ht="15.75" customHeight="1">
      <c r="A58" s="339"/>
      <c r="B58" s="335" t="s">
        <v>2796</v>
      </c>
      <c r="C58" s="382"/>
      <c r="D58" s="341" t="s">
        <v>281</v>
      </c>
      <c r="E58" s="330">
        <v>17300</v>
      </c>
      <c r="F58" s="330">
        <v>17500</v>
      </c>
      <c r="G58" s="330">
        <v>16400</v>
      </c>
      <c r="H58" s="330">
        <v>16400</v>
      </c>
      <c r="I58" s="330">
        <v>17000</v>
      </c>
      <c r="J58" s="330">
        <v>18500</v>
      </c>
      <c r="K58" s="330">
        <v>17000</v>
      </c>
      <c r="L58" s="330">
        <v>18500</v>
      </c>
      <c r="M58" s="330">
        <v>19000</v>
      </c>
      <c r="N58" s="330">
        <v>19000</v>
      </c>
      <c r="O58" s="330">
        <v>19000</v>
      </c>
      <c r="P58" s="263"/>
      <c r="Q58" s="261"/>
      <c r="R58" s="261"/>
      <c r="S58" s="261"/>
      <c r="T58" s="261"/>
      <c r="U58" s="261"/>
      <c r="V58" s="261"/>
      <c r="W58" s="261"/>
      <c r="X58" s="261"/>
      <c r="Y58" s="261"/>
      <c r="Z58" s="261"/>
      <c r="AA58" s="261"/>
      <c r="AB58" s="261"/>
      <c r="AC58" s="261"/>
      <c r="AD58" s="261"/>
      <c r="AE58" s="261"/>
      <c r="AF58" s="261"/>
      <c r="AG58" s="261"/>
      <c r="AH58" s="261"/>
      <c r="AI58" s="261"/>
      <c r="AJ58" s="261"/>
      <c r="AK58" s="261"/>
      <c r="AL58" s="261"/>
      <c r="AM58" s="261"/>
      <c r="AN58" s="261"/>
      <c r="AO58" s="261"/>
      <c r="AP58" s="261"/>
      <c r="AQ58" s="261"/>
      <c r="AR58" s="261"/>
      <c r="AS58" s="261"/>
      <c r="AT58" s="261"/>
      <c r="AU58" s="261"/>
      <c r="AV58" s="261"/>
      <c r="AW58" s="261"/>
      <c r="AX58" s="261"/>
      <c r="AY58" s="261"/>
      <c r="AZ58" s="261"/>
      <c r="BA58" s="261"/>
      <c r="BB58" s="261"/>
      <c r="BC58" s="261"/>
      <c r="BD58" s="261"/>
      <c r="BE58" s="261"/>
      <c r="BF58" s="261"/>
      <c r="BG58" s="261"/>
      <c r="BH58" s="261"/>
      <c r="BI58" s="261"/>
      <c r="BJ58" s="261"/>
      <c r="BK58" s="261"/>
      <c r="BL58" s="261"/>
      <c r="BM58" s="261"/>
      <c r="BN58" s="261"/>
      <c r="BO58" s="261"/>
      <c r="BP58" s="261"/>
      <c r="BQ58" s="261"/>
      <c r="BR58" s="261"/>
      <c r="BS58" s="261"/>
      <c r="BT58" s="261"/>
      <c r="BU58" s="261"/>
      <c r="BV58" s="261"/>
      <c r="BW58" s="261"/>
      <c r="BX58" s="261"/>
      <c r="BY58" s="261"/>
      <c r="BZ58" s="261"/>
      <c r="CA58" s="261"/>
      <c r="CB58" s="261"/>
      <c r="CC58" s="261"/>
      <c r="CD58" s="261"/>
      <c r="CE58" s="261"/>
      <c r="CF58" s="261"/>
      <c r="CG58" s="261"/>
      <c r="CH58" s="261"/>
      <c r="CI58" s="261"/>
      <c r="CJ58" s="261"/>
      <c r="CK58" s="261"/>
      <c r="CL58" s="261"/>
      <c r="CM58" s="261"/>
      <c r="CN58" s="261"/>
      <c r="CO58" s="261"/>
      <c r="CP58" s="261"/>
      <c r="CQ58" s="261"/>
      <c r="CR58" s="261"/>
      <c r="CS58" s="261"/>
      <c r="CT58" s="261"/>
      <c r="CU58" s="261"/>
      <c r="CV58" s="261"/>
      <c r="CW58" s="261"/>
      <c r="CX58" s="261"/>
      <c r="CY58" s="261"/>
      <c r="CZ58" s="261"/>
      <c r="DA58" s="261"/>
      <c r="DB58" s="261"/>
      <c r="DC58" s="261"/>
      <c r="DD58" s="261"/>
      <c r="DE58" s="261"/>
      <c r="DF58" s="261"/>
      <c r="DG58" s="261"/>
      <c r="DH58" s="261"/>
      <c r="DI58" s="261"/>
      <c r="DJ58" s="261"/>
      <c r="DK58" s="261"/>
      <c r="DL58" s="261"/>
      <c r="DM58" s="261"/>
      <c r="DN58" s="261"/>
      <c r="DO58" s="261"/>
      <c r="DP58" s="261"/>
      <c r="DQ58" s="261"/>
      <c r="DR58" s="261"/>
      <c r="DS58" s="261"/>
      <c r="DT58" s="261"/>
      <c r="DU58" s="261"/>
      <c r="DV58" s="261"/>
      <c r="DW58" s="261"/>
      <c r="DX58" s="261"/>
      <c r="DY58" s="261"/>
      <c r="DZ58" s="261"/>
      <c r="EA58" s="261"/>
      <c r="EB58" s="261"/>
      <c r="EC58" s="261"/>
      <c r="ED58" s="261"/>
      <c r="EE58" s="261"/>
      <c r="EF58" s="261"/>
      <c r="EG58" s="261"/>
      <c r="EH58" s="261"/>
      <c r="EI58" s="261"/>
      <c r="EJ58" s="261"/>
      <c r="EK58" s="261"/>
      <c r="EL58" s="261"/>
      <c r="EM58" s="261"/>
      <c r="EN58" s="261"/>
      <c r="EO58" s="261"/>
      <c r="EP58" s="261"/>
      <c r="EQ58" s="261"/>
      <c r="ER58" s="261"/>
      <c r="ES58" s="261"/>
      <c r="ET58" s="261"/>
      <c r="EU58" s="261"/>
      <c r="EV58" s="261"/>
      <c r="EW58" s="261"/>
      <c r="EX58" s="261"/>
      <c r="EY58" s="261"/>
      <c r="EZ58" s="261"/>
      <c r="FA58" s="261"/>
      <c r="FB58" s="261"/>
      <c r="FC58" s="261"/>
      <c r="FD58" s="261"/>
      <c r="FE58" s="261"/>
      <c r="FF58" s="261"/>
      <c r="FG58" s="261"/>
      <c r="FH58" s="261"/>
      <c r="FI58" s="261"/>
      <c r="FJ58" s="261"/>
      <c r="FK58" s="261"/>
      <c r="FL58" s="261"/>
      <c r="FM58" s="261"/>
      <c r="FN58" s="261"/>
      <c r="FO58" s="261"/>
      <c r="FP58" s="261"/>
      <c r="FQ58" s="261"/>
      <c r="FR58" s="261"/>
      <c r="FS58" s="261"/>
      <c r="FT58" s="261"/>
      <c r="FU58" s="261"/>
      <c r="FV58" s="261"/>
      <c r="FW58" s="261"/>
      <c r="FX58" s="261"/>
      <c r="FY58" s="261"/>
      <c r="FZ58" s="261"/>
      <c r="GA58" s="261"/>
      <c r="GB58" s="261"/>
      <c r="GC58" s="261"/>
      <c r="GD58" s="261"/>
      <c r="GE58" s="261"/>
      <c r="GF58" s="261"/>
      <c r="GG58" s="261"/>
      <c r="GH58" s="261"/>
      <c r="GI58" s="261"/>
      <c r="GJ58" s="261"/>
      <c r="GK58" s="261"/>
      <c r="GL58" s="261"/>
      <c r="GM58" s="261"/>
      <c r="GN58" s="261"/>
      <c r="GO58" s="261"/>
      <c r="GP58" s="261"/>
      <c r="GQ58" s="261"/>
      <c r="GR58" s="261"/>
      <c r="GS58" s="261"/>
      <c r="GT58" s="261"/>
      <c r="GU58" s="261"/>
      <c r="GV58" s="261"/>
      <c r="GW58" s="261"/>
      <c r="GX58" s="261"/>
      <c r="GY58" s="261"/>
      <c r="GZ58" s="261"/>
      <c r="HA58" s="261"/>
      <c r="HB58" s="261"/>
      <c r="HC58" s="261"/>
      <c r="HD58" s="261"/>
      <c r="HE58" s="261"/>
      <c r="HF58" s="261"/>
      <c r="HG58" s="261"/>
      <c r="HH58" s="261"/>
      <c r="HI58" s="261"/>
      <c r="HJ58" s="261"/>
      <c r="HK58" s="261"/>
      <c r="HL58" s="261"/>
      <c r="HM58" s="261"/>
      <c r="HN58" s="261"/>
      <c r="HO58" s="261"/>
      <c r="HP58" s="261"/>
      <c r="HQ58" s="261"/>
      <c r="HR58" s="261"/>
      <c r="HS58" s="261"/>
      <c r="HT58" s="261"/>
      <c r="HU58" s="261"/>
      <c r="HV58" s="261"/>
      <c r="HW58" s="261"/>
      <c r="HX58" s="261"/>
      <c r="HY58" s="261"/>
      <c r="HZ58" s="261"/>
      <c r="IA58" s="261"/>
      <c r="IB58" s="261"/>
    </row>
    <row r="59" spans="1:236" s="264" customFormat="1" ht="15.75" customHeight="1">
      <c r="A59" s="341" t="s">
        <v>380</v>
      </c>
      <c r="B59" s="346" t="s">
        <v>2797</v>
      </c>
      <c r="C59" s="346"/>
      <c r="D59" s="341" t="s">
        <v>595</v>
      </c>
      <c r="E59" s="330">
        <v>22000</v>
      </c>
      <c r="F59" s="330">
        <v>28000</v>
      </c>
      <c r="G59" s="330">
        <v>24000</v>
      </c>
      <c r="H59" s="330">
        <v>24000</v>
      </c>
      <c r="I59" s="330">
        <v>26000</v>
      </c>
      <c r="J59" s="330">
        <v>40000</v>
      </c>
      <c r="K59" s="330">
        <v>25000</v>
      </c>
      <c r="L59" s="330">
        <v>29090</v>
      </c>
      <c r="M59" s="330">
        <v>25000</v>
      </c>
      <c r="N59" s="330">
        <v>30000</v>
      </c>
      <c r="O59" s="330">
        <v>30000</v>
      </c>
      <c r="P59" s="263"/>
      <c r="Q59" s="261"/>
      <c r="R59" s="261"/>
      <c r="S59" s="261"/>
      <c r="T59" s="261"/>
      <c r="U59" s="261"/>
      <c r="V59" s="261"/>
      <c r="W59" s="261"/>
      <c r="X59" s="261"/>
      <c r="Y59" s="261"/>
      <c r="Z59" s="261"/>
      <c r="AA59" s="261"/>
      <c r="AB59" s="261"/>
      <c r="AC59" s="261"/>
      <c r="AD59" s="261"/>
      <c r="AE59" s="261"/>
      <c r="AF59" s="261"/>
      <c r="AG59" s="261"/>
      <c r="AH59" s="261"/>
      <c r="AI59" s="261"/>
      <c r="AJ59" s="261"/>
      <c r="AK59" s="261"/>
      <c r="AL59" s="261"/>
      <c r="AM59" s="261"/>
      <c r="AN59" s="261"/>
      <c r="AO59" s="261"/>
      <c r="AP59" s="261"/>
      <c r="AQ59" s="261"/>
      <c r="AR59" s="261"/>
      <c r="AS59" s="261"/>
      <c r="AT59" s="261"/>
      <c r="AU59" s="261"/>
      <c r="AV59" s="261"/>
      <c r="AW59" s="261"/>
      <c r="AX59" s="261"/>
      <c r="AY59" s="261"/>
      <c r="AZ59" s="261"/>
      <c r="BA59" s="261"/>
      <c r="BB59" s="261"/>
      <c r="BC59" s="261"/>
      <c r="BD59" s="261"/>
      <c r="BE59" s="261"/>
      <c r="BF59" s="261"/>
      <c r="BG59" s="261"/>
      <c r="BH59" s="261"/>
      <c r="BI59" s="261"/>
      <c r="BJ59" s="261"/>
      <c r="BK59" s="261"/>
      <c r="BL59" s="261"/>
      <c r="BM59" s="261"/>
      <c r="BN59" s="261"/>
      <c r="BO59" s="261"/>
      <c r="BP59" s="261"/>
      <c r="BQ59" s="261"/>
      <c r="BR59" s="261"/>
      <c r="BS59" s="261"/>
      <c r="BT59" s="261"/>
      <c r="BU59" s="261"/>
      <c r="BV59" s="261"/>
      <c r="BW59" s="261"/>
      <c r="BX59" s="261"/>
      <c r="BY59" s="261"/>
      <c r="BZ59" s="261"/>
      <c r="CA59" s="261"/>
      <c r="CB59" s="261"/>
      <c r="CC59" s="261"/>
      <c r="CD59" s="261"/>
      <c r="CE59" s="261"/>
      <c r="CF59" s="261"/>
      <c r="CG59" s="261"/>
      <c r="CH59" s="261"/>
      <c r="CI59" s="261"/>
      <c r="CJ59" s="261"/>
      <c r="CK59" s="261"/>
      <c r="CL59" s="261"/>
      <c r="CM59" s="261"/>
      <c r="CN59" s="261"/>
      <c r="CO59" s="261"/>
      <c r="CP59" s="261"/>
      <c r="CQ59" s="261"/>
      <c r="CR59" s="261"/>
      <c r="CS59" s="261"/>
      <c r="CT59" s="261"/>
      <c r="CU59" s="261"/>
      <c r="CV59" s="261"/>
      <c r="CW59" s="261"/>
      <c r="CX59" s="261"/>
      <c r="CY59" s="261"/>
      <c r="CZ59" s="261"/>
      <c r="DA59" s="261"/>
      <c r="DB59" s="261"/>
      <c r="DC59" s="261"/>
      <c r="DD59" s="261"/>
      <c r="DE59" s="261"/>
      <c r="DF59" s="261"/>
      <c r="DG59" s="261"/>
      <c r="DH59" s="261"/>
      <c r="DI59" s="261"/>
      <c r="DJ59" s="261"/>
      <c r="DK59" s="261"/>
      <c r="DL59" s="261"/>
      <c r="DM59" s="261"/>
      <c r="DN59" s="261"/>
      <c r="DO59" s="261"/>
      <c r="DP59" s="261"/>
      <c r="DQ59" s="261"/>
      <c r="DR59" s="261"/>
      <c r="DS59" s="261"/>
      <c r="DT59" s="261"/>
      <c r="DU59" s="261"/>
      <c r="DV59" s="261"/>
      <c r="DW59" s="261"/>
      <c r="DX59" s="261"/>
      <c r="DY59" s="261"/>
      <c r="DZ59" s="261"/>
      <c r="EA59" s="261"/>
      <c r="EB59" s="261"/>
      <c r="EC59" s="261"/>
      <c r="ED59" s="261"/>
      <c r="EE59" s="261"/>
      <c r="EF59" s="261"/>
      <c r="EG59" s="261"/>
      <c r="EH59" s="261"/>
      <c r="EI59" s="261"/>
      <c r="EJ59" s="261"/>
      <c r="EK59" s="261"/>
      <c r="EL59" s="261"/>
      <c r="EM59" s="261"/>
      <c r="EN59" s="261"/>
      <c r="EO59" s="261"/>
      <c r="EP59" s="261"/>
      <c r="EQ59" s="261"/>
      <c r="ER59" s="261"/>
      <c r="ES59" s="261"/>
      <c r="ET59" s="261"/>
      <c r="EU59" s="261"/>
      <c r="EV59" s="261"/>
      <c r="EW59" s="261"/>
      <c r="EX59" s="261"/>
      <c r="EY59" s="261"/>
      <c r="EZ59" s="261"/>
      <c r="FA59" s="261"/>
      <c r="FB59" s="261"/>
      <c r="FC59" s="261"/>
      <c r="FD59" s="261"/>
      <c r="FE59" s="261"/>
      <c r="FF59" s="261"/>
      <c r="FG59" s="261"/>
      <c r="FH59" s="261"/>
      <c r="FI59" s="261"/>
      <c r="FJ59" s="261"/>
      <c r="FK59" s="261"/>
      <c r="FL59" s="261"/>
      <c r="FM59" s="261"/>
      <c r="FN59" s="261"/>
      <c r="FO59" s="261"/>
      <c r="FP59" s="261"/>
      <c r="FQ59" s="261"/>
      <c r="FR59" s="261"/>
      <c r="FS59" s="261"/>
      <c r="FT59" s="261"/>
      <c r="FU59" s="261"/>
      <c r="FV59" s="261"/>
      <c r="FW59" s="261"/>
      <c r="FX59" s="261"/>
      <c r="FY59" s="261"/>
      <c r="FZ59" s="261"/>
      <c r="GA59" s="261"/>
      <c r="GB59" s="261"/>
      <c r="GC59" s="261"/>
      <c r="GD59" s="261"/>
      <c r="GE59" s="261"/>
      <c r="GF59" s="261"/>
      <c r="GG59" s="261"/>
      <c r="GH59" s="261"/>
      <c r="GI59" s="261"/>
      <c r="GJ59" s="261"/>
      <c r="GK59" s="261"/>
      <c r="GL59" s="261"/>
      <c r="GM59" s="261"/>
      <c r="GN59" s="261"/>
      <c r="GO59" s="261"/>
      <c r="GP59" s="261"/>
      <c r="GQ59" s="261"/>
      <c r="GR59" s="261"/>
      <c r="GS59" s="261"/>
      <c r="GT59" s="261"/>
      <c r="GU59" s="261"/>
      <c r="GV59" s="261"/>
      <c r="GW59" s="261"/>
      <c r="GX59" s="261"/>
      <c r="GY59" s="261"/>
      <c r="GZ59" s="261"/>
      <c r="HA59" s="261"/>
      <c r="HB59" s="261"/>
      <c r="HC59" s="261"/>
      <c r="HD59" s="261"/>
      <c r="HE59" s="261"/>
      <c r="HF59" s="261"/>
      <c r="HG59" s="261"/>
      <c r="HH59" s="261"/>
      <c r="HI59" s="261"/>
      <c r="HJ59" s="261"/>
      <c r="HK59" s="261"/>
      <c r="HL59" s="261"/>
      <c r="HM59" s="261"/>
      <c r="HN59" s="261"/>
      <c r="HO59" s="261"/>
      <c r="HP59" s="261"/>
      <c r="HQ59" s="261"/>
      <c r="HR59" s="261"/>
      <c r="HS59" s="261"/>
      <c r="HT59" s="261"/>
      <c r="HU59" s="261"/>
      <c r="HV59" s="261"/>
      <c r="HW59" s="261"/>
      <c r="HX59" s="261"/>
      <c r="HY59" s="261"/>
      <c r="HZ59" s="261"/>
      <c r="IA59" s="261"/>
      <c r="IB59" s="261"/>
    </row>
    <row r="60" spans="1:236" s="264" customFormat="1" ht="15.75" customHeight="1">
      <c r="A60" s="341" t="s">
        <v>380</v>
      </c>
      <c r="B60" s="346" t="s">
        <v>2798</v>
      </c>
      <c r="C60" s="346"/>
      <c r="D60" s="341" t="s">
        <v>281</v>
      </c>
      <c r="E60" s="330">
        <v>22000</v>
      </c>
      <c r="F60" s="330">
        <v>28000</v>
      </c>
      <c r="G60" s="330">
        <v>24000</v>
      </c>
      <c r="H60" s="330">
        <v>24000</v>
      </c>
      <c r="I60" s="330">
        <v>25000</v>
      </c>
      <c r="J60" s="330">
        <v>30000</v>
      </c>
      <c r="K60" s="330">
        <v>25000</v>
      </c>
      <c r="L60" s="330">
        <v>27455</v>
      </c>
      <c r="M60" s="330">
        <v>25000</v>
      </c>
      <c r="N60" s="330">
        <v>27000</v>
      </c>
      <c r="O60" s="330">
        <v>25000</v>
      </c>
      <c r="P60" s="263"/>
      <c r="Q60" s="261"/>
      <c r="R60" s="261"/>
      <c r="S60" s="261"/>
      <c r="T60" s="261"/>
      <c r="U60" s="261"/>
      <c r="V60" s="261"/>
      <c r="W60" s="261"/>
      <c r="X60" s="261"/>
      <c r="Y60" s="261"/>
      <c r="Z60" s="261"/>
      <c r="AA60" s="261"/>
      <c r="AB60" s="261"/>
      <c r="AC60" s="261"/>
      <c r="AD60" s="261"/>
      <c r="AE60" s="261"/>
      <c r="AF60" s="261"/>
      <c r="AG60" s="261"/>
      <c r="AH60" s="261"/>
      <c r="AI60" s="261"/>
      <c r="AJ60" s="261"/>
      <c r="AK60" s="261"/>
      <c r="AL60" s="261"/>
      <c r="AM60" s="261"/>
      <c r="AN60" s="261"/>
      <c r="AO60" s="261"/>
      <c r="AP60" s="261"/>
      <c r="AQ60" s="261"/>
      <c r="AR60" s="261"/>
      <c r="AS60" s="261"/>
      <c r="AT60" s="261"/>
      <c r="AU60" s="261"/>
      <c r="AV60" s="261"/>
      <c r="AW60" s="261"/>
      <c r="AX60" s="261"/>
      <c r="AY60" s="261"/>
      <c r="AZ60" s="261"/>
      <c r="BA60" s="261"/>
      <c r="BB60" s="261"/>
      <c r="BC60" s="261"/>
      <c r="BD60" s="261"/>
      <c r="BE60" s="261"/>
      <c r="BF60" s="261"/>
      <c r="BG60" s="261"/>
      <c r="BH60" s="261"/>
      <c r="BI60" s="261"/>
      <c r="BJ60" s="261"/>
      <c r="BK60" s="261"/>
      <c r="BL60" s="261"/>
      <c r="BM60" s="261"/>
      <c r="BN60" s="261"/>
      <c r="BO60" s="261"/>
      <c r="BP60" s="261"/>
      <c r="BQ60" s="261"/>
      <c r="BR60" s="261"/>
      <c r="BS60" s="261"/>
      <c r="BT60" s="261"/>
      <c r="BU60" s="261"/>
      <c r="BV60" s="261"/>
      <c r="BW60" s="261"/>
      <c r="BX60" s="261"/>
      <c r="BY60" s="261"/>
      <c r="BZ60" s="261"/>
      <c r="CA60" s="261"/>
      <c r="CB60" s="261"/>
      <c r="CC60" s="261"/>
      <c r="CD60" s="261"/>
      <c r="CE60" s="261"/>
      <c r="CF60" s="261"/>
      <c r="CG60" s="261"/>
      <c r="CH60" s="261"/>
      <c r="CI60" s="261"/>
      <c r="CJ60" s="261"/>
      <c r="CK60" s="261"/>
      <c r="CL60" s="261"/>
      <c r="CM60" s="261"/>
      <c r="CN60" s="261"/>
      <c r="CO60" s="261"/>
      <c r="CP60" s="261"/>
      <c r="CQ60" s="261"/>
      <c r="CR60" s="261"/>
      <c r="CS60" s="261"/>
      <c r="CT60" s="261"/>
      <c r="CU60" s="261"/>
      <c r="CV60" s="261"/>
      <c r="CW60" s="261"/>
      <c r="CX60" s="261"/>
      <c r="CY60" s="261"/>
      <c r="CZ60" s="261"/>
      <c r="DA60" s="261"/>
      <c r="DB60" s="261"/>
      <c r="DC60" s="261"/>
      <c r="DD60" s="261"/>
      <c r="DE60" s="261"/>
      <c r="DF60" s="261"/>
      <c r="DG60" s="261"/>
      <c r="DH60" s="261"/>
      <c r="DI60" s="261"/>
      <c r="DJ60" s="261"/>
      <c r="DK60" s="261"/>
      <c r="DL60" s="261"/>
      <c r="DM60" s="261"/>
      <c r="DN60" s="261"/>
      <c r="DO60" s="261"/>
      <c r="DP60" s="261"/>
      <c r="DQ60" s="261"/>
      <c r="DR60" s="261"/>
      <c r="DS60" s="261"/>
      <c r="DT60" s="261"/>
      <c r="DU60" s="261"/>
      <c r="DV60" s="261"/>
      <c r="DW60" s="261"/>
      <c r="DX60" s="261"/>
      <c r="DY60" s="261"/>
      <c r="DZ60" s="261"/>
      <c r="EA60" s="261"/>
      <c r="EB60" s="261"/>
      <c r="EC60" s="261"/>
      <c r="ED60" s="261"/>
      <c r="EE60" s="261"/>
      <c r="EF60" s="261"/>
      <c r="EG60" s="261"/>
      <c r="EH60" s="261"/>
      <c r="EI60" s="261"/>
      <c r="EJ60" s="261"/>
      <c r="EK60" s="261"/>
      <c r="EL60" s="261"/>
      <c r="EM60" s="261"/>
      <c r="EN60" s="261"/>
      <c r="EO60" s="261"/>
      <c r="EP60" s="261"/>
      <c r="EQ60" s="261"/>
      <c r="ER60" s="261"/>
      <c r="ES60" s="261"/>
      <c r="ET60" s="261"/>
      <c r="EU60" s="261"/>
      <c r="EV60" s="261"/>
      <c r="EW60" s="261"/>
      <c r="EX60" s="261"/>
      <c r="EY60" s="261"/>
      <c r="EZ60" s="261"/>
      <c r="FA60" s="261"/>
      <c r="FB60" s="261"/>
      <c r="FC60" s="261"/>
      <c r="FD60" s="261"/>
      <c r="FE60" s="261"/>
      <c r="FF60" s="261"/>
      <c r="FG60" s="261"/>
      <c r="FH60" s="261"/>
      <c r="FI60" s="261"/>
      <c r="FJ60" s="261"/>
      <c r="FK60" s="261"/>
      <c r="FL60" s="261"/>
      <c r="FM60" s="261"/>
      <c r="FN60" s="261"/>
      <c r="FO60" s="261"/>
      <c r="FP60" s="261"/>
      <c r="FQ60" s="261"/>
      <c r="FR60" s="261"/>
      <c r="FS60" s="261"/>
      <c r="FT60" s="261"/>
      <c r="FU60" s="261"/>
      <c r="FV60" s="261"/>
      <c r="FW60" s="261"/>
      <c r="FX60" s="261"/>
      <c r="FY60" s="261"/>
      <c r="FZ60" s="261"/>
      <c r="GA60" s="261"/>
      <c r="GB60" s="261"/>
      <c r="GC60" s="261"/>
      <c r="GD60" s="261"/>
      <c r="GE60" s="261"/>
      <c r="GF60" s="261"/>
      <c r="GG60" s="261"/>
      <c r="GH60" s="261"/>
      <c r="GI60" s="261"/>
      <c r="GJ60" s="261"/>
      <c r="GK60" s="261"/>
      <c r="GL60" s="261"/>
      <c r="GM60" s="261"/>
      <c r="GN60" s="261"/>
      <c r="GO60" s="261"/>
      <c r="GP60" s="261"/>
      <c r="GQ60" s="261"/>
      <c r="GR60" s="261"/>
      <c r="GS60" s="261"/>
      <c r="GT60" s="261"/>
      <c r="GU60" s="261"/>
      <c r="GV60" s="261"/>
      <c r="GW60" s="261"/>
      <c r="GX60" s="261"/>
      <c r="GY60" s="261"/>
      <c r="GZ60" s="261"/>
      <c r="HA60" s="261"/>
      <c r="HB60" s="261"/>
      <c r="HC60" s="261"/>
      <c r="HD60" s="261"/>
      <c r="HE60" s="261"/>
      <c r="HF60" s="261"/>
      <c r="HG60" s="261"/>
      <c r="HH60" s="261"/>
      <c r="HI60" s="261"/>
      <c r="HJ60" s="261"/>
      <c r="HK60" s="261"/>
      <c r="HL60" s="261"/>
      <c r="HM60" s="261"/>
      <c r="HN60" s="261"/>
      <c r="HO60" s="261"/>
      <c r="HP60" s="261"/>
      <c r="HQ60" s="261"/>
      <c r="HR60" s="261"/>
      <c r="HS60" s="261"/>
      <c r="HT60" s="261"/>
      <c r="HU60" s="261"/>
      <c r="HV60" s="261"/>
      <c r="HW60" s="261"/>
      <c r="HX60" s="261"/>
      <c r="HY60" s="261"/>
      <c r="HZ60" s="261"/>
      <c r="IA60" s="261"/>
      <c r="IB60" s="261"/>
    </row>
    <row r="61" spans="1:236" s="264" customFormat="1" ht="15.75" customHeight="1">
      <c r="A61" s="339" t="s">
        <v>380</v>
      </c>
      <c r="B61" s="346" t="s">
        <v>2799</v>
      </c>
      <c r="C61" s="346"/>
      <c r="D61" s="341" t="s">
        <v>281</v>
      </c>
      <c r="E61" s="330">
        <v>20000</v>
      </c>
      <c r="F61" s="330">
        <v>28000</v>
      </c>
      <c r="G61" s="330">
        <v>24000</v>
      </c>
      <c r="H61" s="330">
        <v>24000</v>
      </c>
      <c r="I61" s="330">
        <v>26000</v>
      </c>
      <c r="J61" s="330">
        <v>30000</v>
      </c>
      <c r="K61" s="330">
        <v>25000</v>
      </c>
      <c r="L61" s="330">
        <v>32000</v>
      </c>
      <c r="M61" s="330">
        <v>23000</v>
      </c>
      <c r="N61" s="330">
        <v>26500</v>
      </c>
      <c r="O61" s="330">
        <v>25000</v>
      </c>
      <c r="P61" s="263"/>
      <c r="Q61" s="261"/>
      <c r="R61" s="261"/>
      <c r="S61" s="261"/>
      <c r="T61" s="261"/>
      <c r="U61" s="261"/>
      <c r="V61" s="261"/>
      <c r="W61" s="261"/>
      <c r="X61" s="261"/>
      <c r="Y61" s="261"/>
      <c r="Z61" s="261"/>
      <c r="AA61" s="261"/>
      <c r="AB61" s="261"/>
      <c r="AC61" s="261"/>
      <c r="AD61" s="261"/>
      <c r="AE61" s="261"/>
      <c r="AF61" s="261"/>
      <c r="AG61" s="261"/>
      <c r="AH61" s="261"/>
      <c r="AI61" s="261"/>
      <c r="AJ61" s="261"/>
      <c r="AK61" s="261"/>
      <c r="AL61" s="261"/>
      <c r="AM61" s="261"/>
      <c r="AN61" s="261"/>
      <c r="AO61" s="261"/>
      <c r="AP61" s="261"/>
      <c r="AQ61" s="261"/>
      <c r="AR61" s="261"/>
      <c r="AS61" s="261"/>
      <c r="AT61" s="261"/>
      <c r="AU61" s="261"/>
      <c r="AV61" s="261"/>
      <c r="AW61" s="261"/>
      <c r="AX61" s="261"/>
      <c r="AY61" s="261"/>
      <c r="AZ61" s="261"/>
      <c r="BA61" s="261"/>
      <c r="BB61" s="261"/>
      <c r="BC61" s="261"/>
      <c r="BD61" s="261"/>
      <c r="BE61" s="261"/>
      <c r="BF61" s="261"/>
      <c r="BG61" s="261"/>
      <c r="BH61" s="261"/>
      <c r="BI61" s="261"/>
      <c r="BJ61" s="261"/>
      <c r="BK61" s="261"/>
      <c r="BL61" s="261"/>
      <c r="BM61" s="261"/>
      <c r="BN61" s="261"/>
      <c r="BO61" s="261"/>
      <c r="BP61" s="261"/>
      <c r="BQ61" s="261"/>
      <c r="BR61" s="261"/>
      <c r="BS61" s="261"/>
      <c r="BT61" s="261"/>
      <c r="BU61" s="261"/>
      <c r="BV61" s="261"/>
      <c r="BW61" s="261"/>
      <c r="BX61" s="261"/>
      <c r="BY61" s="261"/>
      <c r="BZ61" s="261"/>
      <c r="CA61" s="261"/>
      <c r="CB61" s="261"/>
      <c r="CC61" s="261"/>
      <c r="CD61" s="261"/>
      <c r="CE61" s="261"/>
      <c r="CF61" s="261"/>
      <c r="CG61" s="261"/>
      <c r="CH61" s="261"/>
      <c r="CI61" s="261"/>
      <c r="CJ61" s="261"/>
      <c r="CK61" s="261"/>
      <c r="CL61" s="261"/>
      <c r="CM61" s="261"/>
      <c r="CN61" s="261"/>
      <c r="CO61" s="261"/>
      <c r="CP61" s="261"/>
      <c r="CQ61" s="261"/>
      <c r="CR61" s="261"/>
      <c r="CS61" s="261"/>
      <c r="CT61" s="261"/>
      <c r="CU61" s="261"/>
      <c r="CV61" s="261"/>
      <c r="CW61" s="261"/>
      <c r="CX61" s="261"/>
      <c r="CY61" s="261"/>
      <c r="CZ61" s="261"/>
      <c r="DA61" s="261"/>
      <c r="DB61" s="261"/>
      <c r="DC61" s="261"/>
      <c r="DD61" s="261"/>
      <c r="DE61" s="261"/>
      <c r="DF61" s="261"/>
      <c r="DG61" s="261"/>
      <c r="DH61" s="261"/>
      <c r="DI61" s="261"/>
      <c r="DJ61" s="261"/>
      <c r="DK61" s="261"/>
      <c r="DL61" s="261"/>
      <c r="DM61" s="261"/>
      <c r="DN61" s="261"/>
      <c r="DO61" s="261"/>
      <c r="DP61" s="261"/>
      <c r="DQ61" s="261"/>
      <c r="DR61" s="261"/>
      <c r="DS61" s="261"/>
      <c r="DT61" s="261"/>
      <c r="DU61" s="261"/>
      <c r="DV61" s="261"/>
      <c r="DW61" s="261"/>
      <c r="DX61" s="261"/>
      <c r="DY61" s="261"/>
      <c r="DZ61" s="261"/>
      <c r="EA61" s="261"/>
      <c r="EB61" s="261"/>
      <c r="EC61" s="261"/>
      <c r="ED61" s="261"/>
      <c r="EE61" s="261"/>
      <c r="EF61" s="261"/>
      <c r="EG61" s="261"/>
      <c r="EH61" s="261"/>
      <c r="EI61" s="261"/>
      <c r="EJ61" s="261"/>
      <c r="EK61" s="261"/>
      <c r="EL61" s="261"/>
      <c r="EM61" s="261"/>
      <c r="EN61" s="261"/>
      <c r="EO61" s="261"/>
      <c r="EP61" s="261"/>
      <c r="EQ61" s="261"/>
      <c r="ER61" s="261"/>
      <c r="ES61" s="261"/>
      <c r="ET61" s="261"/>
      <c r="EU61" s="261"/>
      <c r="EV61" s="261"/>
      <c r="EW61" s="261"/>
      <c r="EX61" s="261"/>
      <c r="EY61" s="261"/>
      <c r="EZ61" s="261"/>
      <c r="FA61" s="261"/>
      <c r="FB61" s="261"/>
      <c r="FC61" s="261"/>
      <c r="FD61" s="261"/>
      <c r="FE61" s="261"/>
      <c r="FF61" s="261"/>
      <c r="FG61" s="261"/>
      <c r="FH61" s="261"/>
      <c r="FI61" s="261"/>
      <c r="FJ61" s="261"/>
      <c r="FK61" s="261"/>
      <c r="FL61" s="261"/>
      <c r="FM61" s="261"/>
      <c r="FN61" s="261"/>
      <c r="FO61" s="261"/>
      <c r="FP61" s="261"/>
      <c r="FQ61" s="261"/>
      <c r="FR61" s="261"/>
      <c r="FS61" s="261"/>
      <c r="FT61" s="261"/>
      <c r="FU61" s="261"/>
      <c r="FV61" s="261"/>
      <c r="FW61" s="261"/>
      <c r="FX61" s="261"/>
      <c r="FY61" s="261"/>
      <c r="FZ61" s="261"/>
      <c r="GA61" s="261"/>
      <c r="GB61" s="261"/>
      <c r="GC61" s="261"/>
      <c r="GD61" s="261"/>
      <c r="GE61" s="261"/>
      <c r="GF61" s="261"/>
      <c r="GG61" s="261"/>
      <c r="GH61" s="261"/>
      <c r="GI61" s="261"/>
      <c r="GJ61" s="261"/>
      <c r="GK61" s="261"/>
      <c r="GL61" s="261"/>
      <c r="GM61" s="261"/>
      <c r="GN61" s="261"/>
      <c r="GO61" s="261"/>
      <c r="GP61" s="261"/>
      <c r="GQ61" s="261"/>
      <c r="GR61" s="261"/>
      <c r="GS61" s="261"/>
      <c r="GT61" s="261"/>
      <c r="GU61" s="261"/>
      <c r="GV61" s="261"/>
      <c r="GW61" s="261"/>
      <c r="GX61" s="261"/>
      <c r="GY61" s="261"/>
      <c r="GZ61" s="261"/>
      <c r="HA61" s="261"/>
      <c r="HB61" s="261"/>
      <c r="HC61" s="261"/>
      <c r="HD61" s="261"/>
      <c r="HE61" s="261"/>
      <c r="HF61" s="261"/>
      <c r="HG61" s="261"/>
      <c r="HH61" s="261"/>
      <c r="HI61" s="261"/>
      <c r="HJ61" s="261"/>
      <c r="HK61" s="261"/>
      <c r="HL61" s="261"/>
      <c r="HM61" s="261"/>
      <c r="HN61" s="261"/>
      <c r="HO61" s="261"/>
      <c r="HP61" s="261"/>
      <c r="HQ61" s="261"/>
      <c r="HR61" s="261"/>
      <c r="HS61" s="261"/>
      <c r="HT61" s="261"/>
      <c r="HU61" s="261"/>
      <c r="HV61" s="261"/>
      <c r="HW61" s="261"/>
      <c r="HX61" s="261"/>
      <c r="HY61" s="261"/>
      <c r="HZ61" s="261"/>
      <c r="IA61" s="261"/>
      <c r="IB61" s="261"/>
    </row>
    <row r="62" spans="1:236" s="264" customFormat="1" ht="15.75" customHeight="1">
      <c r="A62" s="339" t="s">
        <v>380</v>
      </c>
      <c r="B62" s="346" t="s">
        <v>2800</v>
      </c>
      <c r="C62" s="346"/>
      <c r="D62" s="341" t="s">
        <v>281</v>
      </c>
      <c r="E62" s="330">
        <v>20200</v>
      </c>
      <c r="F62" s="330"/>
      <c r="G62" s="330"/>
      <c r="H62" s="330"/>
      <c r="I62" s="330"/>
      <c r="J62" s="330"/>
      <c r="K62" s="330"/>
      <c r="L62" s="330">
        <v>21455</v>
      </c>
      <c r="M62" s="330">
        <v>23000</v>
      </c>
      <c r="N62" s="330">
        <v>29500</v>
      </c>
      <c r="O62" s="330">
        <v>22000</v>
      </c>
      <c r="P62" s="263"/>
      <c r="Q62" s="261"/>
      <c r="R62" s="261"/>
      <c r="S62" s="261"/>
      <c r="T62" s="261"/>
      <c r="U62" s="261"/>
      <c r="V62" s="261"/>
      <c r="W62" s="261"/>
      <c r="X62" s="261"/>
      <c r="Y62" s="261"/>
      <c r="Z62" s="261"/>
      <c r="AA62" s="261"/>
      <c r="AB62" s="261"/>
      <c r="AC62" s="261"/>
      <c r="AD62" s="261"/>
      <c r="AE62" s="261"/>
      <c r="AF62" s="261"/>
      <c r="AG62" s="261"/>
      <c r="AH62" s="261"/>
      <c r="AI62" s="261"/>
      <c r="AJ62" s="261"/>
      <c r="AK62" s="261"/>
      <c r="AL62" s="261"/>
      <c r="AM62" s="261"/>
      <c r="AN62" s="261"/>
      <c r="AO62" s="261"/>
      <c r="AP62" s="261"/>
      <c r="AQ62" s="261"/>
      <c r="AR62" s="261"/>
      <c r="AS62" s="261"/>
      <c r="AT62" s="261"/>
      <c r="AU62" s="261"/>
      <c r="AV62" s="261"/>
      <c r="AW62" s="261"/>
      <c r="AX62" s="261"/>
      <c r="AY62" s="261"/>
      <c r="AZ62" s="261"/>
      <c r="BA62" s="261"/>
      <c r="BB62" s="261"/>
      <c r="BC62" s="261"/>
      <c r="BD62" s="261"/>
      <c r="BE62" s="261"/>
      <c r="BF62" s="261"/>
      <c r="BG62" s="261"/>
      <c r="BH62" s="261"/>
      <c r="BI62" s="261"/>
      <c r="BJ62" s="261"/>
      <c r="BK62" s="261"/>
      <c r="BL62" s="261"/>
      <c r="BM62" s="261"/>
      <c r="BN62" s="261"/>
      <c r="BO62" s="261"/>
      <c r="BP62" s="261"/>
      <c r="BQ62" s="261"/>
      <c r="BR62" s="261"/>
      <c r="BS62" s="261"/>
      <c r="BT62" s="261"/>
      <c r="BU62" s="261"/>
      <c r="BV62" s="261"/>
      <c r="BW62" s="261"/>
      <c r="BX62" s="261"/>
      <c r="BY62" s="261"/>
      <c r="BZ62" s="261"/>
      <c r="CA62" s="261"/>
      <c r="CB62" s="261"/>
      <c r="CC62" s="261"/>
      <c r="CD62" s="261"/>
      <c r="CE62" s="261"/>
      <c r="CF62" s="261"/>
      <c r="CG62" s="261"/>
      <c r="CH62" s="261"/>
      <c r="CI62" s="261"/>
      <c r="CJ62" s="261"/>
      <c r="CK62" s="261"/>
      <c r="CL62" s="261"/>
      <c r="CM62" s="261"/>
      <c r="CN62" s="261"/>
      <c r="CO62" s="261"/>
      <c r="CP62" s="261"/>
      <c r="CQ62" s="261"/>
      <c r="CR62" s="261"/>
      <c r="CS62" s="261"/>
      <c r="CT62" s="261"/>
      <c r="CU62" s="261"/>
      <c r="CV62" s="261"/>
      <c r="CW62" s="261"/>
      <c r="CX62" s="261"/>
      <c r="CY62" s="261"/>
      <c r="CZ62" s="261"/>
      <c r="DA62" s="261"/>
      <c r="DB62" s="261"/>
      <c r="DC62" s="261"/>
      <c r="DD62" s="261"/>
      <c r="DE62" s="261"/>
      <c r="DF62" s="261"/>
      <c r="DG62" s="261"/>
      <c r="DH62" s="261"/>
      <c r="DI62" s="261"/>
      <c r="DJ62" s="261"/>
      <c r="DK62" s="261"/>
      <c r="DL62" s="261"/>
      <c r="DM62" s="261"/>
      <c r="DN62" s="261"/>
      <c r="DO62" s="261"/>
      <c r="DP62" s="261"/>
      <c r="DQ62" s="261"/>
      <c r="DR62" s="261"/>
      <c r="DS62" s="261"/>
      <c r="DT62" s="261"/>
      <c r="DU62" s="261"/>
      <c r="DV62" s="261"/>
      <c r="DW62" s="261"/>
      <c r="DX62" s="261"/>
      <c r="DY62" s="261"/>
      <c r="DZ62" s="261"/>
      <c r="EA62" s="261"/>
      <c r="EB62" s="261"/>
      <c r="EC62" s="261"/>
      <c r="ED62" s="261"/>
      <c r="EE62" s="261"/>
      <c r="EF62" s="261"/>
      <c r="EG62" s="261"/>
      <c r="EH62" s="261"/>
      <c r="EI62" s="261"/>
      <c r="EJ62" s="261"/>
      <c r="EK62" s="261"/>
      <c r="EL62" s="261"/>
      <c r="EM62" s="261"/>
      <c r="EN62" s="261"/>
      <c r="EO62" s="261"/>
      <c r="EP62" s="261"/>
      <c r="EQ62" s="261"/>
      <c r="ER62" s="261"/>
      <c r="ES62" s="261"/>
      <c r="ET62" s="261"/>
      <c r="EU62" s="261"/>
      <c r="EV62" s="261"/>
      <c r="EW62" s="261"/>
      <c r="EX62" s="261"/>
      <c r="EY62" s="261"/>
      <c r="EZ62" s="261"/>
      <c r="FA62" s="261"/>
      <c r="FB62" s="261"/>
      <c r="FC62" s="261"/>
      <c r="FD62" s="261"/>
      <c r="FE62" s="261"/>
      <c r="FF62" s="261"/>
      <c r="FG62" s="261"/>
      <c r="FH62" s="261"/>
      <c r="FI62" s="261"/>
      <c r="FJ62" s="261"/>
      <c r="FK62" s="261"/>
      <c r="FL62" s="261"/>
      <c r="FM62" s="261"/>
      <c r="FN62" s="261"/>
      <c r="FO62" s="261"/>
      <c r="FP62" s="261"/>
      <c r="FQ62" s="261"/>
      <c r="FR62" s="261"/>
      <c r="FS62" s="261"/>
      <c r="FT62" s="261"/>
      <c r="FU62" s="261"/>
      <c r="FV62" s="261"/>
      <c r="FW62" s="261"/>
      <c r="FX62" s="261"/>
      <c r="FY62" s="261"/>
      <c r="FZ62" s="261"/>
      <c r="GA62" s="261"/>
      <c r="GB62" s="261"/>
      <c r="GC62" s="261"/>
      <c r="GD62" s="261"/>
      <c r="GE62" s="261"/>
      <c r="GF62" s="261"/>
      <c r="GG62" s="261"/>
      <c r="GH62" s="261"/>
      <c r="GI62" s="261"/>
      <c r="GJ62" s="261"/>
      <c r="GK62" s="261"/>
      <c r="GL62" s="261"/>
      <c r="GM62" s="261"/>
      <c r="GN62" s="261"/>
      <c r="GO62" s="261"/>
      <c r="GP62" s="261"/>
      <c r="GQ62" s="261"/>
      <c r="GR62" s="261"/>
      <c r="GS62" s="261"/>
      <c r="GT62" s="261"/>
      <c r="GU62" s="261"/>
      <c r="GV62" s="261"/>
      <c r="GW62" s="261"/>
      <c r="GX62" s="261"/>
      <c r="GY62" s="261"/>
      <c r="GZ62" s="261"/>
      <c r="HA62" s="261"/>
      <c r="HB62" s="261"/>
      <c r="HC62" s="261"/>
      <c r="HD62" s="261"/>
      <c r="HE62" s="261"/>
      <c r="HF62" s="261"/>
      <c r="HG62" s="261"/>
      <c r="HH62" s="261"/>
      <c r="HI62" s="261"/>
      <c r="HJ62" s="261"/>
      <c r="HK62" s="261"/>
      <c r="HL62" s="261"/>
      <c r="HM62" s="261"/>
      <c r="HN62" s="261"/>
      <c r="HO62" s="261"/>
      <c r="HP62" s="261"/>
      <c r="HQ62" s="261"/>
      <c r="HR62" s="261"/>
      <c r="HS62" s="261"/>
      <c r="HT62" s="261"/>
      <c r="HU62" s="261"/>
      <c r="HV62" s="261"/>
      <c r="HW62" s="261"/>
      <c r="HX62" s="261"/>
      <c r="HY62" s="261"/>
      <c r="HZ62" s="261"/>
      <c r="IA62" s="261"/>
      <c r="IB62" s="261"/>
    </row>
    <row r="63" spans="1:21" s="264" customFormat="1" ht="15.75">
      <c r="A63" s="337">
        <v>6</v>
      </c>
      <c r="B63" s="347" t="s">
        <v>515</v>
      </c>
      <c r="C63" s="347"/>
      <c r="D63" s="339"/>
      <c r="E63" s="326"/>
      <c r="F63" s="326"/>
      <c r="G63" s="326"/>
      <c r="H63" s="326"/>
      <c r="I63" s="326"/>
      <c r="J63" s="326"/>
      <c r="K63" s="326"/>
      <c r="L63" s="326"/>
      <c r="M63" s="326"/>
      <c r="N63" s="326"/>
      <c r="O63" s="326"/>
      <c r="P63" s="263"/>
      <c r="Q63" s="265"/>
      <c r="R63" s="265"/>
      <c r="T63" s="263"/>
      <c r="U63" s="263"/>
    </row>
    <row r="64" spans="1:21" s="264" customFormat="1" ht="18.75" customHeight="1">
      <c r="A64" s="339" t="s">
        <v>380</v>
      </c>
      <c r="B64" s="348" t="s">
        <v>592</v>
      </c>
      <c r="C64" s="348"/>
      <c r="D64" s="339"/>
      <c r="E64" s="326"/>
      <c r="F64" s="326"/>
      <c r="G64" s="326"/>
      <c r="H64" s="326"/>
      <c r="I64" s="326"/>
      <c r="J64" s="326"/>
      <c r="K64" s="326"/>
      <c r="L64" s="326"/>
      <c r="M64" s="326"/>
      <c r="N64" s="326"/>
      <c r="O64" s="326"/>
      <c r="P64" s="263"/>
      <c r="Q64" s="265"/>
      <c r="R64" s="265"/>
      <c r="T64" s="263"/>
      <c r="U64" s="263"/>
    </row>
    <row r="65" spans="1:21" s="264" customFormat="1" ht="18.75" customHeight="1">
      <c r="A65" s="349"/>
      <c r="B65" s="342" t="s">
        <v>593</v>
      </c>
      <c r="C65" s="342"/>
      <c r="D65" s="341" t="s">
        <v>379</v>
      </c>
      <c r="E65" s="326">
        <v>400000</v>
      </c>
      <c r="F65" s="326"/>
      <c r="G65" s="326"/>
      <c r="H65" s="326"/>
      <c r="I65" s="326">
        <v>400000</v>
      </c>
      <c r="J65" s="326"/>
      <c r="K65" s="326">
        <v>265000</v>
      </c>
      <c r="L65" s="326">
        <v>450000</v>
      </c>
      <c r="M65" s="326"/>
      <c r="N65" s="326">
        <v>300000</v>
      </c>
      <c r="O65" s="326">
        <v>390000</v>
      </c>
      <c r="P65" s="263"/>
      <c r="Q65" s="265"/>
      <c r="R65" s="265"/>
      <c r="T65" s="263"/>
      <c r="U65" s="263"/>
    </row>
    <row r="66" spans="1:21" s="264" customFormat="1" ht="15.75">
      <c r="A66" s="339"/>
      <c r="B66" s="342" t="s">
        <v>186</v>
      </c>
      <c r="C66" s="342"/>
      <c r="D66" s="341" t="s">
        <v>379</v>
      </c>
      <c r="E66" s="326">
        <v>750000</v>
      </c>
      <c r="F66" s="326"/>
      <c r="G66" s="326"/>
      <c r="H66" s="326"/>
      <c r="I66" s="326">
        <v>750000</v>
      </c>
      <c r="J66" s="326"/>
      <c r="K66" s="326">
        <v>700000</v>
      </c>
      <c r="L66" s="326">
        <v>850000</v>
      </c>
      <c r="M66" s="326"/>
      <c r="N66" s="326">
        <v>650000</v>
      </c>
      <c r="O66" s="326">
        <v>780000</v>
      </c>
      <c r="P66" s="263"/>
      <c r="Q66" s="265"/>
      <c r="R66" s="265"/>
      <c r="T66" s="263"/>
      <c r="U66" s="263"/>
    </row>
    <row r="67" spans="1:21" s="264" customFormat="1" ht="15.75">
      <c r="A67" s="339"/>
      <c r="B67" s="342" t="s">
        <v>1781</v>
      </c>
      <c r="C67" s="342"/>
      <c r="D67" s="341"/>
      <c r="E67" s="326"/>
      <c r="F67" s="326"/>
      <c r="G67" s="326"/>
      <c r="H67" s="326"/>
      <c r="I67" s="326"/>
      <c r="J67" s="326"/>
      <c r="K67" s="326"/>
      <c r="L67" s="326"/>
      <c r="M67" s="326"/>
      <c r="N67" s="326">
        <v>280000</v>
      </c>
      <c r="O67" s="326"/>
      <c r="P67" s="263"/>
      <c r="Q67" s="265"/>
      <c r="R67" s="265"/>
      <c r="T67" s="263"/>
      <c r="U67" s="263"/>
    </row>
    <row r="68" spans="1:21" s="264" customFormat="1" ht="15.75">
      <c r="A68" s="339"/>
      <c r="B68" s="342" t="s">
        <v>1782</v>
      </c>
      <c r="C68" s="342"/>
      <c r="D68" s="341"/>
      <c r="E68" s="326"/>
      <c r="F68" s="326"/>
      <c r="G68" s="326"/>
      <c r="H68" s="326"/>
      <c r="I68" s="326"/>
      <c r="J68" s="326"/>
      <c r="K68" s="326"/>
      <c r="L68" s="326"/>
      <c r="M68" s="326"/>
      <c r="N68" s="326">
        <v>300000</v>
      </c>
      <c r="O68" s="326"/>
      <c r="P68" s="263"/>
      <c r="Q68" s="265"/>
      <c r="R68" s="265"/>
      <c r="T68" s="263"/>
      <c r="U68" s="263"/>
    </row>
    <row r="69" spans="1:21" s="267" customFormat="1" ht="15" customHeight="1">
      <c r="A69" s="339" t="s">
        <v>380</v>
      </c>
      <c r="B69" s="348" t="s">
        <v>633</v>
      </c>
      <c r="C69" s="348"/>
      <c r="D69" s="339"/>
      <c r="E69" s="326"/>
      <c r="F69" s="326"/>
      <c r="G69" s="326"/>
      <c r="H69" s="326"/>
      <c r="I69" s="326"/>
      <c r="J69" s="326"/>
      <c r="K69" s="326"/>
      <c r="L69" s="326"/>
      <c r="M69" s="326"/>
      <c r="N69" s="326"/>
      <c r="O69" s="326"/>
      <c r="P69" s="266"/>
      <c r="Q69" s="268"/>
      <c r="R69" s="268"/>
      <c r="T69" s="269"/>
      <c r="U69" s="269"/>
    </row>
    <row r="70" spans="1:21" s="267" customFormat="1" ht="15" customHeight="1">
      <c r="A70" s="349"/>
      <c r="B70" s="342" t="s">
        <v>593</v>
      </c>
      <c r="C70" s="342"/>
      <c r="D70" s="341"/>
      <c r="E70" s="326">
        <v>350000</v>
      </c>
      <c r="F70" s="326"/>
      <c r="G70" s="326">
        <v>360000</v>
      </c>
      <c r="H70" s="326">
        <v>360000</v>
      </c>
      <c r="I70" s="326">
        <v>300000</v>
      </c>
      <c r="J70" s="326">
        <v>250000</v>
      </c>
      <c r="K70" s="326">
        <v>240000</v>
      </c>
      <c r="L70" s="326">
        <v>360000</v>
      </c>
      <c r="M70" s="326"/>
      <c r="N70" s="326">
        <v>200000</v>
      </c>
      <c r="O70" s="326"/>
      <c r="P70" s="266"/>
      <c r="Q70" s="268"/>
      <c r="R70" s="268"/>
      <c r="T70" s="269"/>
      <c r="U70" s="269"/>
    </row>
    <row r="71" spans="1:21" s="267" customFormat="1" ht="15" customHeight="1">
      <c r="A71" s="349"/>
      <c r="B71" s="342" t="s">
        <v>186</v>
      </c>
      <c r="C71" s="342"/>
      <c r="D71" s="341" t="s">
        <v>379</v>
      </c>
      <c r="E71" s="326">
        <v>500000</v>
      </c>
      <c r="F71" s="326"/>
      <c r="G71" s="326">
        <v>460000</v>
      </c>
      <c r="H71" s="326">
        <v>460000</v>
      </c>
      <c r="I71" s="326">
        <v>450000</v>
      </c>
      <c r="J71" s="326">
        <v>500000</v>
      </c>
      <c r="K71" s="326">
        <v>480000</v>
      </c>
      <c r="L71" s="326">
        <v>500000</v>
      </c>
      <c r="M71" s="326"/>
      <c r="N71" s="326">
        <v>400000</v>
      </c>
      <c r="O71" s="326"/>
      <c r="P71" s="266"/>
      <c r="Q71" s="268"/>
      <c r="R71" s="268"/>
      <c r="T71" s="269"/>
      <c r="U71" s="269"/>
    </row>
    <row r="72" spans="1:21" s="267" customFormat="1" ht="15" customHeight="1">
      <c r="A72" s="339" t="s">
        <v>380</v>
      </c>
      <c r="B72" s="348" t="s">
        <v>4</v>
      </c>
      <c r="C72" s="348"/>
      <c r="D72" s="339"/>
      <c r="E72" s="326"/>
      <c r="F72" s="326"/>
      <c r="G72" s="326"/>
      <c r="H72" s="326"/>
      <c r="I72" s="326"/>
      <c r="J72" s="326"/>
      <c r="K72" s="326"/>
      <c r="L72" s="326"/>
      <c r="M72" s="326"/>
      <c r="N72" s="326"/>
      <c r="O72" s="326"/>
      <c r="P72" s="266"/>
      <c r="Q72" s="265"/>
      <c r="R72" s="268"/>
      <c r="T72" s="269"/>
      <c r="U72" s="269"/>
    </row>
    <row r="73" spans="1:21" s="267" customFormat="1" ht="15" customHeight="1">
      <c r="A73" s="349"/>
      <c r="B73" s="342" t="s">
        <v>593</v>
      </c>
      <c r="C73" s="342"/>
      <c r="D73" s="341" t="s">
        <v>379</v>
      </c>
      <c r="E73" s="326">
        <v>485000</v>
      </c>
      <c r="F73" s="326"/>
      <c r="G73" s="326">
        <v>530000</v>
      </c>
      <c r="H73" s="326">
        <v>530000</v>
      </c>
      <c r="I73" s="326"/>
      <c r="J73" s="326">
        <v>450000</v>
      </c>
      <c r="K73" s="326">
        <v>375000</v>
      </c>
      <c r="L73" s="326">
        <v>450000</v>
      </c>
      <c r="M73" s="326"/>
      <c r="N73" s="326"/>
      <c r="O73" s="326"/>
      <c r="P73" s="266"/>
      <c r="Q73" s="265"/>
      <c r="R73" s="268"/>
      <c r="T73" s="269"/>
      <c r="U73" s="269"/>
    </row>
    <row r="74" spans="1:21" s="267" customFormat="1" ht="15" customHeight="1">
      <c r="A74" s="339"/>
      <c r="B74" s="342" t="s">
        <v>186</v>
      </c>
      <c r="C74" s="342"/>
      <c r="D74" s="341" t="s">
        <v>281</v>
      </c>
      <c r="E74" s="326">
        <v>785000</v>
      </c>
      <c r="F74" s="326"/>
      <c r="G74" s="326">
        <v>830000</v>
      </c>
      <c r="H74" s="326">
        <v>830000</v>
      </c>
      <c r="I74" s="326"/>
      <c r="J74" s="326">
        <v>850000</v>
      </c>
      <c r="K74" s="326">
        <v>700000</v>
      </c>
      <c r="L74" s="326">
        <v>800000</v>
      </c>
      <c r="M74" s="326"/>
      <c r="N74" s="326"/>
      <c r="O74" s="326"/>
      <c r="P74" s="266"/>
      <c r="Q74" s="265"/>
      <c r="R74" s="268"/>
      <c r="T74" s="269"/>
      <c r="U74" s="269"/>
    </row>
    <row r="75" spans="1:21" s="267" customFormat="1" ht="15" customHeight="1">
      <c r="A75" s="339" t="s">
        <v>380</v>
      </c>
      <c r="B75" s="348" t="s">
        <v>191</v>
      </c>
      <c r="C75" s="348"/>
      <c r="D75" s="341"/>
      <c r="E75" s="326"/>
      <c r="F75" s="326"/>
      <c r="G75" s="326"/>
      <c r="H75" s="326"/>
      <c r="I75" s="326"/>
      <c r="J75" s="326"/>
      <c r="K75" s="326"/>
      <c r="L75" s="326"/>
      <c r="M75" s="326"/>
      <c r="N75" s="326"/>
      <c r="O75" s="326"/>
      <c r="P75" s="266"/>
      <c r="Q75" s="265"/>
      <c r="R75" s="268"/>
      <c r="T75" s="269"/>
      <c r="U75" s="269"/>
    </row>
    <row r="76" spans="1:21" s="267" customFormat="1" ht="15.75">
      <c r="A76" s="350"/>
      <c r="B76" s="329" t="s">
        <v>930</v>
      </c>
      <c r="C76" s="329"/>
      <c r="D76" s="351" t="s">
        <v>516</v>
      </c>
      <c r="E76" s="326">
        <v>1800000</v>
      </c>
      <c r="F76" s="326"/>
      <c r="G76" s="326"/>
      <c r="H76" s="326"/>
      <c r="I76" s="326">
        <v>2000000</v>
      </c>
      <c r="J76" s="326"/>
      <c r="K76" s="326">
        <v>2300000</v>
      </c>
      <c r="L76" s="326"/>
      <c r="M76" s="326"/>
      <c r="N76" s="326">
        <v>2000000</v>
      </c>
      <c r="O76" s="326">
        <v>2200000</v>
      </c>
      <c r="P76" s="266"/>
      <c r="Q76" s="255"/>
      <c r="R76" s="268"/>
      <c r="T76" s="269"/>
      <c r="U76" s="269"/>
    </row>
    <row r="77" spans="1:21" s="267" customFormat="1" ht="25.5">
      <c r="A77" s="339"/>
      <c r="B77" s="352" t="s">
        <v>564</v>
      </c>
      <c r="C77" s="352"/>
      <c r="D77" s="341" t="s">
        <v>282</v>
      </c>
      <c r="E77" s="326">
        <v>1700000</v>
      </c>
      <c r="F77" s="326"/>
      <c r="G77" s="326"/>
      <c r="H77" s="326"/>
      <c r="I77" s="326">
        <v>1800000</v>
      </c>
      <c r="J77" s="326"/>
      <c r="K77" s="326">
        <v>2300000</v>
      </c>
      <c r="L77" s="326"/>
      <c r="M77" s="326"/>
      <c r="N77" s="326">
        <v>1800000</v>
      </c>
      <c r="O77" s="326">
        <v>2200000</v>
      </c>
      <c r="P77" s="266"/>
      <c r="Q77" s="255"/>
      <c r="R77" s="268"/>
      <c r="T77" s="269"/>
      <c r="U77" s="269"/>
    </row>
    <row r="78" spans="1:162" s="267" customFormat="1" ht="15" customHeight="1">
      <c r="A78" s="339"/>
      <c r="B78" s="352" t="s">
        <v>565</v>
      </c>
      <c r="C78" s="352"/>
      <c r="D78" s="341" t="s">
        <v>281</v>
      </c>
      <c r="E78" s="326">
        <v>1800000</v>
      </c>
      <c r="F78" s="326"/>
      <c r="G78" s="326"/>
      <c r="H78" s="326"/>
      <c r="I78" s="326"/>
      <c r="J78" s="326"/>
      <c r="K78" s="326">
        <v>2300000</v>
      </c>
      <c r="L78" s="326">
        <v>2500000</v>
      </c>
      <c r="M78" s="326"/>
      <c r="N78" s="326">
        <v>2200000</v>
      </c>
      <c r="O78" s="326"/>
      <c r="P78" s="266"/>
      <c r="Q78" s="255"/>
      <c r="R78" s="255"/>
      <c r="S78" s="254"/>
      <c r="T78" s="253"/>
      <c r="U78" s="253"/>
      <c r="V78" s="254"/>
      <c r="W78" s="254"/>
      <c r="X78" s="254"/>
      <c r="Y78" s="254"/>
      <c r="Z78" s="254"/>
      <c r="AA78" s="254"/>
      <c r="AB78" s="254"/>
      <c r="AC78" s="254"/>
      <c r="AD78" s="254"/>
      <c r="AE78" s="254"/>
      <c r="AF78" s="254"/>
      <c r="AG78" s="254"/>
      <c r="AH78" s="254"/>
      <c r="AI78" s="254"/>
      <c r="AJ78" s="254"/>
      <c r="AK78" s="254"/>
      <c r="AL78" s="254"/>
      <c r="AM78" s="254"/>
      <c r="AN78" s="254"/>
      <c r="AO78" s="254"/>
      <c r="AP78" s="254"/>
      <c r="AQ78" s="254"/>
      <c r="AR78" s="254"/>
      <c r="AS78" s="254"/>
      <c r="AT78" s="254"/>
      <c r="AU78" s="254"/>
      <c r="AV78" s="254"/>
      <c r="AW78" s="254"/>
      <c r="AX78" s="254"/>
      <c r="AY78" s="254"/>
      <c r="AZ78" s="254"/>
      <c r="BA78" s="254"/>
      <c r="BB78" s="254"/>
      <c r="BC78" s="254"/>
      <c r="BD78" s="254"/>
      <c r="BE78" s="254"/>
      <c r="BF78" s="254"/>
      <c r="BG78" s="254"/>
      <c r="BH78" s="254"/>
      <c r="BI78" s="254"/>
      <c r="BJ78" s="254"/>
      <c r="BK78" s="254"/>
      <c r="BL78" s="254"/>
      <c r="BM78" s="254"/>
      <c r="BN78" s="254"/>
      <c r="BO78" s="254"/>
      <c r="BP78" s="254"/>
      <c r="BQ78" s="254"/>
      <c r="BR78" s="254"/>
      <c r="BS78" s="254"/>
      <c r="BT78" s="254"/>
      <c r="BU78" s="254"/>
      <c r="BV78" s="254"/>
      <c r="BW78" s="254"/>
      <c r="BX78" s="254"/>
      <c r="BY78" s="254"/>
      <c r="BZ78" s="254"/>
      <c r="CA78" s="254"/>
      <c r="CB78" s="254"/>
      <c r="CC78" s="254"/>
      <c r="CD78" s="254"/>
      <c r="CE78" s="254"/>
      <c r="CF78" s="254"/>
      <c r="CG78" s="254"/>
      <c r="CH78" s="254"/>
      <c r="CI78" s="254"/>
      <c r="CJ78" s="254"/>
      <c r="CK78" s="254"/>
      <c r="CL78" s="254"/>
      <c r="CM78" s="254"/>
      <c r="CN78" s="254"/>
      <c r="CO78" s="254"/>
      <c r="CP78" s="254"/>
      <c r="CQ78" s="254"/>
      <c r="CR78" s="254"/>
      <c r="CS78" s="254"/>
      <c r="CT78" s="254"/>
      <c r="CU78" s="254"/>
      <c r="CV78" s="254"/>
      <c r="CW78" s="254"/>
      <c r="CX78" s="254"/>
      <c r="CY78" s="254"/>
      <c r="CZ78" s="254"/>
      <c r="DA78" s="254"/>
      <c r="DB78" s="254"/>
      <c r="DC78" s="254"/>
      <c r="DD78" s="254"/>
      <c r="DE78" s="254"/>
      <c r="DF78" s="254"/>
      <c r="DG78" s="254"/>
      <c r="DH78" s="254"/>
      <c r="DI78" s="254"/>
      <c r="DJ78" s="254"/>
      <c r="DK78" s="254"/>
      <c r="DL78" s="254"/>
      <c r="DM78" s="254"/>
      <c r="DN78" s="254"/>
      <c r="DO78" s="254"/>
      <c r="DP78" s="254"/>
      <c r="DQ78" s="254"/>
      <c r="DR78" s="254"/>
      <c r="DS78" s="254"/>
      <c r="DT78" s="254"/>
      <c r="DU78" s="254"/>
      <c r="DV78" s="254"/>
      <c r="DW78" s="254"/>
      <c r="DX78" s="254"/>
      <c r="DY78" s="254"/>
      <c r="DZ78" s="254"/>
      <c r="EA78" s="254"/>
      <c r="EB78" s="254"/>
      <c r="EC78" s="254"/>
      <c r="ED78" s="254"/>
      <c r="EE78" s="254"/>
      <c r="EF78" s="254"/>
      <c r="EG78" s="254"/>
      <c r="EH78" s="254"/>
      <c r="EI78" s="254"/>
      <c r="EJ78" s="254"/>
      <c r="EK78" s="254"/>
      <c r="EL78" s="254"/>
      <c r="EM78" s="254"/>
      <c r="EN78" s="254"/>
      <c r="EO78" s="254"/>
      <c r="EP78" s="254"/>
      <c r="EQ78" s="254"/>
      <c r="ER78" s="254"/>
      <c r="ES78" s="254"/>
      <c r="ET78" s="254"/>
      <c r="EU78" s="254"/>
      <c r="EV78" s="254"/>
      <c r="EW78" s="254"/>
      <c r="EX78" s="254"/>
      <c r="EY78" s="254"/>
      <c r="EZ78" s="254"/>
      <c r="FA78" s="254"/>
      <c r="FB78" s="254"/>
      <c r="FC78" s="254"/>
      <c r="FD78" s="254"/>
      <c r="FE78" s="254"/>
      <c r="FF78" s="254"/>
    </row>
    <row r="79" spans="1:162" s="267" customFormat="1" ht="15" customHeight="1">
      <c r="A79" s="339" t="s">
        <v>380</v>
      </c>
      <c r="B79" s="348" t="s">
        <v>1338</v>
      </c>
      <c r="C79" s="348"/>
      <c r="D79" s="341"/>
      <c r="E79" s="326"/>
      <c r="F79" s="326"/>
      <c r="G79" s="326"/>
      <c r="H79" s="326"/>
      <c r="I79" s="326"/>
      <c r="J79" s="326"/>
      <c r="K79" s="326"/>
      <c r="L79" s="326"/>
      <c r="M79" s="326"/>
      <c r="N79" s="326"/>
      <c r="O79" s="326"/>
      <c r="P79" s="266"/>
      <c r="Q79" s="254"/>
      <c r="R79" s="265"/>
      <c r="S79" s="264"/>
      <c r="T79" s="263"/>
      <c r="U79" s="263"/>
      <c r="V79" s="264"/>
      <c r="W79" s="264"/>
      <c r="X79" s="264"/>
      <c r="Y79" s="264"/>
      <c r="Z79" s="264"/>
      <c r="AA79" s="264"/>
      <c r="AB79" s="264"/>
      <c r="AC79" s="264"/>
      <c r="AD79" s="264"/>
      <c r="AE79" s="264"/>
      <c r="AF79" s="264"/>
      <c r="AG79" s="264"/>
      <c r="AH79" s="264"/>
      <c r="AI79" s="264"/>
      <c r="AJ79" s="264"/>
      <c r="AK79" s="264"/>
      <c r="AL79" s="264"/>
      <c r="AM79" s="264"/>
      <c r="AN79" s="264"/>
      <c r="AO79" s="264"/>
      <c r="AP79" s="264"/>
      <c r="AQ79" s="264"/>
      <c r="AR79" s="264"/>
      <c r="AS79" s="264"/>
      <c r="AT79" s="264"/>
      <c r="AU79" s="264"/>
      <c r="AV79" s="264"/>
      <c r="AW79" s="264"/>
      <c r="AX79" s="264"/>
      <c r="AY79" s="264"/>
      <c r="AZ79" s="264"/>
      <c r="BA79" s="264"/>
      <c r="BB79" s="264"/>
      <c r="BC79" s="264"/>
      <c r="BD79" s="264"/>
      <c r="BE79" s="264"/>
      <c r="BF79" s="264"/>
      <c r="BG79" s="264"/>
      <c r="BH79" s="264"/>
      <c r="BI79" s="264"/>
      <c r="BJ79" s="264"/>
      <c r="BK79" s="264"/>
      <c r="BL79" s="264"/>
      <c r="BM79" s="264"/>
      <c r="BN79" s="264"/>
      <c r="BO79" s="264"/>
      <c r="BP79" s="264"/>
      <c r="BQ79" s="264"/>
      <c r="BR79" s="264"/>
      <c r="BS79" s="264"/>
      <c r="BT79" s="264"/>
      <c r="BU79" s="264"/>
      <c r="BV79" s="264"/>
      <c r="BW79" s="264"/>
      <c r="BX79" s="264"/>
      <c r="BY79" s="264"/>
      <c r="BZ79" s="264"/>
      <c r="CA79" s="264"/>
      <c r="CB79" s="264"/>
      <c r="CC79" s="264"/>
      <c r="CD79" s="264"/>
      <c r="CE79" s="264"/>
      <c r="CF79" s="264"/>
      <c r="CG79" s="264"/>
      <c r="CH79" s="264"/>
      <c r="CI79" s="264"/>
      <c r="CJ79" s="264"/>
      <c r="CK79" s="264"/>
      <c r="CL79" s="264"/>
      <c r="CM79" s="264"/>
      <c r="CN79" s="264"/>
      <c r="CO79" s="264"/>
      <c r="CP79" s="264"/>
      <c r="CQ79" s="264"/>
      <c r="CR79" s="264"/>
      <c r="CS79" s="264"/>
      <c r="CT79" s="264"/>
      <c r="CU79" s="264"/>
      <c r="CV79" s="264"/>
      <c r="CW79" s="264"/>
      <c r="CX79" s="264"/>
      <c r="CY79" s="264"/>
      <c r="CZ79" s="264"/>
      <c r="DA79" s="264"/>
      <c r="DB79" s="264"/>
      <c r="DC79" s="264"/>
      <c r="DD79" s="264"/>
      <c r="DE79" s="264"/>
      <c r="DF79" s="264"/>
      <c r="DG79" s="264"/>
      <c r="DH79" s="264"/>
      <c r="DI79" s="264"/>
      <c r="DJ79" s="264"/>
      <c r="DK79" s="264"/>
      <c r="DL79" s="264"/>
      <c r="DM79" s="264"/>
      <c r="DN79" s="264"/>
      <c r="DO79" s="264"/>
      <c r="DP79" s="264"/>
      <c r="DQ79" s="264"/>
      <c r="DR79" s="264"/>
      <c r="DS79" s="264"/>
      <c r="DT79" s="264"/>
      <c r="DU79" s="264"/>
      <c r="DV79" s="264"/>
      <c r="DW79" s="264"/>
      <c r="DX79" s="264"/>
      <c r="DY79" s="264"/>
      <c r="DZ79" s="264"/>
      <c r="EA79" s="264"/>
      <c r="EB79" s="264"/>
      <c r="EC79" s="264"/>
      <c r="ED79" s="264"/>
      <c r="EE79" s="264"/>
      <c r="EF79" s="264"/>
      <c r="EG79" s="264"/>
      <c r="EH79" s="264"/>
      <c r="EI79" s="264"/>
      <c r="EJ79" s="264"/>
      <c r="EK79" s="264"/>
      <c r="EL79" s="264"/>
      <c r="EM79" s="264"/>
      <c r="EN79" s="264"/>
      <c r="EO79" s="264"/>
      <c r="EP79" s="264"/>
      <c r="EQ79" s="264"/>
      <c r="ER79" s="264"/>
      <c r="ES79" s="264"/>
      <c r="ET79" s="264"/>
      <c r="EU79" s="264"/>
      <c r="EV79" s="264"/>
      <c r="EW79" s="264"/>
      <c r="EX79" s="264"/>
      <c r="EY79" s="264"/>
      <c r="EZ79" s="264"/>
      <c r="FA79" s="264"/>
      <c r="FB79" s="264"/>
      <c r="FC79" s="264"/>
      <c r="FD79" s="264"/>
      <c r="FE79" s="264"/>
      <c r="FF79" s="264"/>
    </row>
    <row r="80" spans="1:21" s="267" customFormat="1" ht="15.75">
      <c r="A80" s="339"/>
      <c r="B80" s="352" t="s">
        <v>591</v>
      </c>
      <c r="C80" s="352"/>
      <c r="D80" s="351" t="s">
        <v>516</v>
      </c>
      <c r="E80" s="326">
        <v>1000000</v>
      </c>
      <c r="F80" s="326"/>
      <c r="G80" s="326">
        <v>1380000</v>
      </c>
      <c r="H80" s="326">
        <v>1380000</v>
      </c>
      <c r="I80" s="326">
        <v>1200000</v>
      </c>
      <c r="J80" s="326">
        <v>1380000</v>
      </c>
      <c r="K80" s="326">
        <v>1260000</v>
      </c>
      <c r="L80" s="326"/>
      <c r="M80" s="326"/>
      <c r="N80" s="326">
        <v>1400000</v>
      </c>
      <c r="O80" s="326">
        <v>1200000</v>
      </c>
      <c r="P80" s="266"/>
      <c r="Q80" s="254"/>
      <c r="R80" s="268"/>
      <c r="T80" s="269"/>
      <c r="U80" s="269"/>
    </row>
    <row r="81" spans="1:21" s="267" customFormat="1" ht="15" customHeight="1">
      <c r="A81" s="339"/>
      <c r="B81" s="352" t="s">
        <v>931</v>
      </c>
      <c r="C81" s="352"/>
      <c r="D81" s="341" t="s">
        <v>282</v>
      </c>
      <c r="E81" s="326">
        <v>900000</v>
      </c>
      <c r="F81" s="326"/>
      <c r="G81" s="326">
        <v>1180000</v>
      </c>
      <c r="H81" s="326">
        <v>1180000</v>
      </c>
      <c r="I81" s="326">
        <v>1150000</v>
      </c>
      <c r="J81" s="326">
        <v>1250000</v>
      </c>
      <c r="K81" s="326">
        <v>1135000</v>
      </c>
      <c r="L81" s="326"/>
      <c r="M81" s="326"/>
      <c r="N81" s="326">
        <v>1300000</v>
      </c>
      <c r="O81" s="326">
        <v>1200000</v>
      </c>
      <c r="P81" s="266"/>
      <c r="Q81" s="254"/>
      <c r="R81" s="268"/>
      <c r="T81" s="269"/>
      <c r="U81" s="269"/>
    </row>
    <row r="82" spans="1:21" s="267" customFormat="1" ht="15.75">
      <c r="A82" s="339"/>
      <c r="B82" s="352" t="s">
        <v>6</v>
      </c>
      <c r="C82" s="352"/>
      <c r="D82" s="341"/>
      <c r="E82" s="326"/>
      <c r="F82" s="326"/>
      <c r="G82" s="326"/>
      <c r="H82" s="326"/>
      <c r="I82" s="326"/>
      <c r="J82" s="326"/>
      <c r="K82" s="326"/>
      <c r="L82" s="326"/>
      <c r="M82" s="326"/>
      <c r="N82" s="326"/>
      <c r="O82" s="326"/>
      <c r="P82" s="266"/>
      <c r="Q82" s="254"/>
      <c r="R82" s="268"/>
      <c r="T82" s="269"/>
      <c r="U82" s="269"/>
    </row>
    <row r="83" spans="1:21" s="267" customFormat="1" ht="15" customHeight="1">
      <c r="A83" s="339" t="s">
        <v>380</v>
      </c>
      <c r="B83" s="348" t="s">
        <v>3</v>
      </c>
      <c r="C83" s="348"/>
      <c r="D83" s="341"/>
      <c r="E83" s="326"/>
      <c r="F83" s="326"/>
      <c r="G83" s="326"/>
      <c r="H83" s="326"/>
      <c r="I83" s="326"/>
      <c r="J83" s="326"/>
      <c r="K83" s="326"/>
      <c r="L83" s="326"/>
      <c r="M83" s="326"/>
      <c r="N83" s="326"/>
      <c r="O83" s="326"/>
      <c r="P83" s="266"/>
      <c r="Q83" s="254"/>
      <c r="R83" s="268"/>
      <c r="T83" s="269"/>
      <c r="U83" s="269"/>
    </row>
    <row r="84" spans="1:162" s="267" customFormat="1" ht="15" customHeight="1">
      <c r="A84" s="350"/>
      <c r="B84" s="329" t="s">
        <v>932</v>
      </c>
      <c r="C84" s="329"/>
      <c r="D84" s="351" t="s">
        <v>516</v>
      </c>
      <c r="E84" s="326"/>
      <c r="F84" s="326"/>
      <c r="G84" s="326"/>
      <c r="H84" s="326">
        <v>2180000</v>
      </c>
      <c r="I84" s="326"/>
      <c r="J84" s="326">
        <v>2100000</v>
      </c>
      <c r="K84" s="326"/>
      <c r="L84" s="326">
        <v>2400000</v>
      </c>
      <c r="M84" s="326"/>
      <c r="N84" s="326"/>
      <c r="O84" s="326"/>
      <c r="P84" s="266"/>
      <c r="Q84" s="254"/>
      <c r="R84" s="265"/>
      <c r="S84" s="264"/>
      <c r="T84" s="263"/>
      <c r="U84" s="263"/>
      <c r="V84" s="264"/>
      <c r="W84" s="264"/>
      <c r="X84" s="264"/>
      <c r="Y84" s="264"/>
      <c r="Z84" s="264"/>
      <c r="AA84" s="264"/>
      <c r="AB84" s="264"/>
      <c r="AC84" s="264"/>
      <c r="AD84" s="264"/>
      <c r="AE84" s="264"/>
      <c r="AF84" s="264"/>
      <c r="AG84" s="264"/>
      <c r="AH84" s="264"/>
      <c r="AI84" s="264"/>
      <c r="AJ84" s="264"/>
      <c r="AK84" s="264"/>
      <c r="AL84" s="264"/>
      <c r="AM84" s="264"/>
      <c r="AN84" s="264"/>
      <c r="AO84" s="264"/>
      <c r="AP84" s="264"/>
      <c r="AQ84" s="264"/>
      <c r="AR84" s="264"/>
      <c r="AS84" s="264"/>
      <c r="AT84" s="264"/>
      <c r="AU84" s="264"/>
      <c r="AV84" s="264"/>
      <c r="AW84" s="264"/>
      <c r="AX84" s="264"/>
      <c r="AY84" s="264"/>
      <c r="AZ84" s="264"/>
      <c r="BA84" s="264"/>
      <c r="BB84" s="264"/>
      <c r="BC84" s="264"/>
      <c r="BD84" s="264"/>
      <c r="BE84" s="264"/>
      <c r="BF84" s="264"/>
      <c r="BG84" s="264"/>
      <c r="BH84" s="264"/>
      <c r="BI84" s="264"/>
      <c r="BJ84" s="264"/>
      <c r="BK84" s="264"/>
      <c r="BL84" s="264"/>
      <c r="BM84" s="264"/>
      <c r="BN84" s="264"/>
      <c r="BO84" s="264"/>
      <c r="BP84" s="264"/>
      <c r="BQ84" s="264"/>
      <c r="BR84" s="264"/>
      <c r="BS84" s="264"/>
      <c r="BT84" s="264"/>
      <c r="BU84" s="264"/>
      <c r="BV84" s="264"/>
      <c r="BW84" s="264"/>
      <c r="BX84" s="264"/>
      <c r="BY84" s="264"/>
      <c r="BZ84" s="264"/>
      <c r="CA84" s="264"/>
      <c r="CB84" s="264"/>
      <c r="CC84" s="264"/>
      <c r="CD84" s="264"/>
      <c r="CE84" s="264"/>
      <c r="CF84" s="264"/>
      <c r="CG84" s="264"/>
      <c r="CH84" s="264"/>
      <c r="CI84" s="264"/>
      <c r="CJ84" s="264"/>
      <c r="CK84" s="264"/>
      <c r="CL84" s="264"/>
      <c r="CM84" s="264"/>
      <c r="CN84" s="264"/>
      <c r="CO84" s="264"/>
      <c r="CP84" s="264"/>
      <c r="CQ84" s="264"/>
      <c r="CR84" s="264"/>
      <c r="CS84" s="264"/>
      <c r="CT84" s="264"/>
      <c r="CU84" s="264"/>
      <c r="CV84" s="264"/>
      <c r="CW84" s="264"/>
      <c r="CX84" s="264"/>
      <c r="CY84" s="264"/>
      <c r="CZ84" s="264"/>
      <c r="DA84" s="264"/>
      <c r="DB84" s="264"/>
      <c r="DC84" s="264"/>
      <c r="DD84" s="264"/>
      <c r="DE84" s="264"/>
      <c r="DF84" s="264"/>
      <c r="DG84" s="264"/>
      <c r="DH84" s="264"/>
      <c r="DI84" s="264"/>
      <c r="DJ84" s="264"/>
      <c r="DK84" s="264"/>
      <c r="DL84" s="264"/>
      <c r="DM84" s="264"/>
      <c r="DN84" s="264"/>
      <c r="DO84" s="264"/>
      <c r="DP84" s="264"/>
      <c r="DQ84" s="264"/>
      <c r="DR84" s="264"/>
      <c r="DS84" s="264"/>
      <c r="DT84" s="264"/>
      <c r="DU84" s="264"/>
      <c r="DV84" s="264"/>
      <c r="DW84" s="264"/>
      <c r="DX84" s="264"/>
      <c r="DY84" s="264"/>
      <c r="DZ84" s="264"/>
      <c r="EA84" s="264"/>
      <c r="EB84" s="264"/>
      <c r="EC84" s="264"/>
      <c r="ED84" s="264"/>
      <c r="EE84" s="264"/>
      <c r="EF84" s="264"/>
      <c r="EG84" s="264"/>
      <c r="EH84" s="264"/>
      <c r="EI84" s="264"/>
      <c r="EJ84" s="264"/>
      <c r="EK84" s="264"/>
      <c r="EL84" s="264"/>
      <c r="EM84" s="264"/>
      <c r="EN84" s="264"/>
      <c r="EO84" s="264"/>
      <c r="EP84" s="264"/>
      <c r="EQ84" s="264"/>
      <c r="ER84" s="264"/>
      <c r="ES84" s="264"/>
      <c r="ET84" s="264"/>
      <c r="EU84" s="264"/>
      <c r="EV84" s="264"/>
      <c r="EW84" s="264"/>
      <c r="EX84" s="264"/>
      <c r="EY84" s="264"/>
      <c r="EZ84" s="264"/>
      <c r="FA84" s="264"/>
      <c r="FB84" s="264"/>
      <c r="FC84" s="264"/>
      <c r="FD84" s="264"/>
      <c r="FE84" s="264"/>
      <c r="FF84" s="264"/>
    </row>
    <row r="85" spans="1:162" s="267" customFormat="1" ht="15" customHeight="1">
      <c r="A85" s="339"/>
      <c r="B85" s="352" t="s">
        <v>190</v>
      </c>
      <c r="C85" s="352"/>
      <c r="D85" s="341" t="s">
        <v>282</v>
      </c>
      <c r="E85" s="326">
        <v>1800000</v>
      </c>
      <c r="F85" s="326"/>
      <c r="G85" s="326"/>
      <c r="H85" s="326">
        <v>1980000</v>
      </c>
      <c r="I85" s="326"/>
      <c r="J85" s="326">
        <v>2000000</v>
      </c>
      <c r="K85" s="326">
        <v>1900000</v>
      </c>
      <c r="L85" s="326">
        <v>2000000</v>
      </c>
      <c r="M85" s="326"/>
      <c r="N85" s="326"/>
      <c r="O85" s="326"/>
      <c r="P85" s="266"/>
      <c r="Q85" s="254"/>
      <c r="R85" s="265"/>
      <c r="S85" s="264"/>
      <c r="T85" s="263"/>
      <c r="U85" s="263"/>
      <c r="V85" s="264"/>
      <c r="W85" s="264"/>
      <c r="X85" s="264"/>
      <c r="Y85" s="264"/>
      <c r="Z85" s="264"/>
      <c r="AA85" s="264"/>
      <c r="AB85" s="264"/>
      <c r="AC85" s="264"/>
      <c r="AD85" s="264"/>
      <c r="AE85" s="264"/>
      <c r="AF85" s="264"/>
      <c r="AG85" s="264"/>
      <c r="AH85" s="264"/>
      <c r="AI85" s="264"/>
      <c r="AJ85" s="264"/>
      <c r="AK85" s="264"/>
      <c r="AL85" s="264"/>
      <c r="AM85" s="264"/>
      <c r="AN85" s="264"/>
      <c r="AO85" s="264"/>
      <c r="AP85" s="264"/>
      <c r="AQ85" s="264"/>
      <c r="AR85" s="264"/>
      <c r="AS85" s="264"/>
      <c r="AT85" s="264"/>
      <c r="AU85" s="264"/>
      <c r="AV85" s="264"/>
      <c r="AW85" s="264"/>
      <c r="AX85" s="264"/>
      <c r="AY85" s="264"/>
      <c r="AZ85" s="264"/>
      <c r="BA85" s="264"/>
      <c r="BB85" s="264"/>
      <c r="BC85" s="264"/>
      <c r="BD85" s="264"/>
      <c r="BE85" s="264"/>
      <c r="BF85" s="264"/>
      <c r="BG85" s="264"/>
      <c r="BH85" s="264"/>
      <c r="BI85" s="264"/>
      <c r="BJ85" s="264"/>
      <c r="BK85" s="264"/>
      <c r="BL85" s="264"/>
      <c r="BM85" s="264"/>
      <c r="BN85" s="264"/>
      <c r="BO85" s="264"/>
      <c r="BP85" s="264"/>
      <c r="BQ85" s="264"/>
      <c r="BR85" s="264"/>
      <c r="BS85" s="264"/>
      <c r="BT85" s="264"/>
      <c r="BU85" s="264"/>
      <c r="BV85" s="264"/>
      <c r="BW85" s="264"/>
      <c r="BX85" s="264"/>
      <c r="BY85" s="264"/>
      <c r="BZ85" s="264"/>
      <c r="CA85" s="264"/>
      <c r="CB85" s="264"/>
      <c r="CC85" s="264"/>
      <c r="CD85" s="264"/>
      <c r="CE85" s="264"/>
      <c r="CF85" s="264"/>
      <c r="CG85" s="264"/>
      <c r="CH85" s="264"/>
      <c r="CI85" s="264"/>
      <c r="CJ85" s="264"/>
      <c r="CK85" s="264"/>
      <c r="CL85" s="264"/>
      <c r="CM85" s="264"/>
      <c r="CN85" s="264"/>
      <c r="CO85" s="264"/>
      <c r="CP85" s="264"/>
      <c r="CQ85" s="264"/>
      <c r="CR85" s="264"/>
      <c r="CS85" s="264"/>
      <c r="CT85" s="264"/>
      <c r="CU85" s="264"/>
      <c r="CV85" s="264"/>
      <c r="CW85" s="264"/>
      <c r="CX85" s="264"/>
      <c r="CY85" s="264"/>
      <c r="CZ85" s="264"/>
      <c r="DA85" s="264"/>
      <c r="DB85" s="264"/>
      <c r="DC85" s="264"/>
      <c r="DD85" s="264"/>
      <c r="DE85" s="264"/>
      <c r="DF85" s="264"/>
      <c r="DG85" s="264"/>
      <c r="DH85" s="264"/>
      <c r="DI85" s="264"/>
      <c r="DJ85" s="264"/>
      <c r="DK85" s="264"/>
      <c r="DL85" s="264"/>
      <c r="DM85" s="264"/>
      <c r="DN85" s="264"/>
      <c r="DO85" s="264"/>
      <c r="DP85" s="264"/>
      <c r="DQ85" s="264"/>
      <c r="DR85" s="264"/>
      <c r="DS85" s="264"/>
      <c r="DT85" s="264"/>
      <c r="DU85" s="264"/>
      <c r="DV85" s="264"/>
      <c r="DW85" s="264"/>
      <c r="DX85" s="264"/>
      <c r="DY85" s="264"/>
      <c r="DZ85" s="264"/>
      <c r="EA85" s="264"/>
      <c r="EB85" s="264"/>
      <c r="EC85" s="264"/>
      <c r="ED85" s="264"/>
      <c r="EE85" s="264"/>
      <c r="EF85" s="264"/>
      <c r="EG85" s="264"/>
      <c r="EH85" s="264"/>
      <c r="EI85" s="264"/>
      <c r="EJ85" s="264"/>
      <c r="EK85" s="264"/>
      <c r="EL85" s="264"/>
      <c r="EM85" s="264"/>
      <c r="EN85" s="264"/>
      <c r="EO85" s="264"/>
      <c r="EP85" s="264"/>
      <c r="EQ85" s="264"/>
      <c r="ER85" s="264"/>
      <c r="ES85" s="264"/>
      <c r="ET85" s="264"/>
      <c r="EU85" s="264"/>
      <c r="EV85" s="264"/>
      <c r="EW85" s="264"/>
      <c r="EX85" s="264"/>
      <c r="EY85" s="264"/>
      <c r="EZ85" s="264"/>
      <c r="FA85" s="264"/>
      <c r="FB85" s="264"/>
      <c r="FC85" s="264"/>
      <c r="FD85" s="264"/>
      <c r="FE85" s="264"/>
      <c r="FF85" s="264"/>
    </row>
    <row r="86" spans="1:162" ht="15" customHeight="1">
      <c r="A86" s="339"/>
      <c r="B86" s="352" t="s">
        <v>705</v>
      </c>
      <c r="C86" s="352"/>
      <c r="D86" s="341"/>
      <c r="E86" s="326">
        <v>2000000</v>
      </c>
      <c r="F86" s="326"/>
      <c r="G86" s="326"/>
      <c r="H86" s="326">
        <v>2800000</v>
      </c>
      <c r="I86" s="326"/>
      <c r="J86" s="326"/>
      <c r="K86" s="326">
        <v>1900000</v>
      </c>
      <c r="L86" s="326">
        <v>2200000</v>
      </c>
      <c r="M86" s="326"/>
      <c r="N86" s="326"/>
      <c r="O86" s="326"/>
      <c r="Q86" s="254"/>
      <c r="R86" s="265"/>
      <c r="S86" s="264"/>
      <c r="T86" s="263"/>
      <c r="U86" s="263"/>
      <c r="V86" s="264"/>
      <c r="W86" s="264"/>
      <c r="X86" s="264"/>
      <c r="Y86" s="264"/>
      <c r="Z86" s="264"/>
      <c r="AA86" s="264"/>
      <c r="AB86" s="264"/>
      <c r="AC86" s="264"/>
      <c r="AD86" s="264"/>
      <c r="AE86" s="264"/>
      <c r="AF86" s="264"/>
      <c r="AG86" s="264"/>
      <c r="AH86" s="264"/>
      <c r="AI86" s="264"/>
      <c r="AJ86" s="264"/>
      <c r="AK86" s="264"/>
      <c r="AL86" s="264"/>
      <c r="AM86" s="264"/>
      <c r="AN86" s="264"/>
      <c r="AO86" s="264"/>
      <c r="AP86" s="264"/>
      <c r="AQ86" s="264"/>
      <c r="AR86" s="264"/>
      <c r="AS86" s="264"/>
      <c r="AT86" s="264"/>
      <c r="AU86" s="264"/>
      <c r="AV86" s="264"/>
      <c r="AW86" s="264"/>
      <c r="AX86" s="264"/>
      <c r="AY86" s="264"/>
      <c r="AZ86" s="264"/>
      <c r="BA86" s="264"/>
      <c r="BB86" s="264"/>
      <c r="BC86" s="264"/>
      <c r="BD86" s="264"/>
      <c r="BE86" s="264"/>
      <c r="BF86" s="264"/>
      <c r="BG86" s="264"/>
      <c r="BH86" s="264"/>
      <c r="BI86" s="264"/>
      <c r="BJ86" s="264"/>
      <c r="BK86" s="264"/>
      <c r="BL86" s="264"/>
      <c r="BM86" s="264"/>
      <c r="BN86" s="264"/>
      <c r="BO86" s="264"/>
      <c r="BP86" s="264"/>
      <c r="BQ86" s="264"/>
      <c r="BR86" s="264"/>
      <c r="BS86" s="264"/>
      <c r="BT86" s="264"/>
      <c r="BU86" s="264"/>
      <c r="BV86" s="264"/>
      <c r="BW86" s="264"/>
      <c r="BX86" s="264"/>
      <c r="BY86" s="264"/>
      <c r="BZ86" s="264"/>
      <c r="CA86" s="264"/>
      <c r="CB86" s="264"/>
      <c r="CC86" s="264"/>
      <c r="CD86" s="264"/>
      <c r="CE86" s="264"/>
      <c r="CF86" s="264"/>
      <c r="CG86" s="264"/>
      <c r="CH86" s="264"/>
      <c r="CI86" s="264"/>
      <c r="CJ86" s="264"/>
      <c r="CK86" s="264"/>
      <c r="CL86" s="264"/>
      <c r="CM86" s="264"/>
      <c r="CN86" s="264"/>
      <c r="CO86" s="264"/>
      <c r="CP86" s="264"/>
      <c r="CQ86" s="264"/>
      <c r="CR86" s="264"/>
      <c r="CS86" s="264"/>
      <c r="CT86" s="264"/>
      <c r="CU86" s="264"/>
      <c r="CV86" s="264"/>
      <c r="CW86" s="264"/>
      <c r="CX86" s="264"/>
      <c r="CY86" s="264"/>
      <c r="CZ86" s="264"/>
      <c r="DA86" s="264"/>
      <c r="DB86" s="264"/>
      <c r="DC86" s="264"/>
      <c r="DD86" s="264"/>
      <c r="DE86" s="264"/>
      <c r="DF86" s="264"/>
      <c r="DG86" s="264"/>
      <c r="DH86" s="264"/>
      <c r="DI86" s="264"/>
      <c r="DJ86" s="264"/>
      <c r="DK86" s="264"/>
      <c r="DL86" s="264"/>
      <c r="DM86" s="264"/>
      <c r="DN86" s="264"/>
      <c r="DO86" s="264"/>
      <c r="DP86" s="264"/>
      <c r="DQ86" s="264"/>
      <c r="DR86" s="264"/>
      <c r="DS86" s="264"/>
      <c r="DT86" s="264"/>
      <c r="DU86" s="264"/>
      <c r="DV86" s="264"/>
      <c r="DW86" s="264"/>
      <c r="DX86" s="264"/>
      <c r="DY86" s="264"/>
      <c r="DZ86" s="264"/>
      <c r="EA86" s="264"/>
      <c r="EB86" s="264"/>
      <c r="EC86" s="264"/>
      <c r="ED86" s="264"/>
      <c r="EE86" s="264"/>
      <c r="EF86" s="264"/>
      <c r="EG86" s="264"/>
      <c r="EH86" s="264"/>
      <c r="EI86" s="264"/>
      <c r="EJ86" s="264"/>
      <c r="EK86" s="264"/>
      <c r="EL86" s="264"/>
      <c r="EM86" s="264"/>
      <c r="EN86" s="264"/>
      <c r="EO86" s="264"/>
      <c r="EP86" s="264"/>
      <c r="EQ86" s="264"/>
      <c r="ER86" s="264"/>
      <c r="ES86" s="264"/>
      <c r="ET86" s="264"/>
      <c r="EU86" s="264"/>
      <c r="EV86" s="264"/>
      <c r="EW86" s="264"/>
      <c r="EX86" s="264"/>
      <c r="EY86" s="264"/>
      <c r="EZ86" s="264"/>
      <c r="FA86" s="264"/>
      <c r="FB86" s="264"/>
      <c r="FC86" s="264"/>
      <c r="FD86" s="264"/>
      <c r="FE86" s="264"/>
      <c r="FF86" s="264"/>
    </row>
    <row r="87" spans="1:162" s="264" customFormat="1" ht="15.75" customHeight="1">
      <c r="A87" s="339" t="s">
        <v>380</v>
      </c>
      <c r="B87" s="348" t="s">
        <v>192</v>
      </c>
      <c r="C87" s="348"/>
      <c r="D87" s="341"/>
      <c r="E87" s="326"/>
      <c r="F87" s="326"/>
      <c r="G87" s="326"/>
      <c r="H87" s="326"/>
      <c r="I87" s="326"/>
      <c r="J87" s="326"/>
      <c r="K87" s="326"/>
      <c r="L87" s="326"/>
      <c r="M87" s="326"/>
      <c r="N87" s="326"/>
      <c r="O87" s="326"/>
      <c r="P87" s="270"/>
      <c r="Q87" s="254"/>
      <c r="R87" s="255"/>
      <c r="S87" s="254"/>
      <c r="T87" s="253"/>
      <c r="U87" s="253"/>
      <c r="V87" s="254"/>
      <c r="W87" s="254"/>
      <c r="X87" s="254"/>
      <c r="Y87" s="254"/>
      <c r="Z87" s="254"/>
      <c r="AA87" s="254"/>
      <c r="AB87" s="254"/>
      <c r="AC87" s="254"/>
      <c r="AD87" s="254"/>
      <c r="AE87" s="254"/>
      <c r="AF87" s="254"/>
      <c r="AG87" s="254"/>
      <c r="AH87" s="254"/>
      <c r="AI87" s="254"/>
      <c r="AJ87" s="254"/>
      <c r="AK87" s="254"/>
      <c r="AL87" s="254"/>
      <c r="AM87" s="254"/>
      <c r="AN87" s="254"/>
      <c r="AO87" s="254"/>
      <c r="AP87" s="254"/>
      <c r="AQ87" s="254"/>
      <c r="AR87" s="254"/>
      <c r="AS87" s="254"/>
      <c r="AT87" s="254"/>
      <c r="AU87" s="254"/>
      <c r="AV87" s="254"/>
      <c r="AW87" s="254"/>
      <c r="AX87" s="254"/>
      <c r="AY87" s="254"/>
      <c r="AZ87" s="254"/>
      <c r="BA87" s="254"/>
      <c r="BB87" s="254"/>
      <c r="BC87" s="254"/>
      <c r="BD87" s="254"/>
      <c r="BE87" s="254"/>
      <c r="BF87" s="254"/>
      <c r="BG87" s="254"/>
      <c r="BH87" s="254"/>
      <c r="BI87" s="254"/>
      <c r="BJ87" s="254"/>
      <c r="BK87" s="254"/>
      <c r="BL87" s="254"/>
      <c r="BM87" s="254"/>
      <c r="BN87" s="254"/>
      <c r="BO87" s="254"/>
      <c r="BP87" s="254"/>
      <c r="BQ87" s="254"/>
      <c r="BR87" s="254"/>
      <c r="BS87" s="254"/>
      <c r="BT87" s="254"/>
      <c r="BU87" s="254"/>
      <c r="BV87" s="254"/>
      <c r="BW87" s="254"/>
      <c r="BX87" s="254"/>
      <c r="BY87" s="254"/>
      <c r="BZ87" s="254"/>
      <c r="CA87" s="254"/>
      <c r="CB87" s="254"/>
      <c r="CC87" s="254"/>
      <c r="CD87" s="254"/>
      <c r="CE87" s="254"/>
      <c r="CF87" s="254"/>
      <c r="CG87" s="254"/>
      <c r="CH87" s="254"/>
      <c r="CI87" s="254"/>
      <c r="CJ87" s="254"/>
      <c r="CK87" s="254"/>
      <c r="CL87" s="254"/>
      <c r="CM87" s="254"/>
      <c r="CN87" s="254"/>
      <c r="CO87" s="254"/>
      <c r="CP87" s="254"/>
      <c r="CQ87" s="254"/>
      <c r="CR87" s="254"/>
      <c r="CS87" s="254"/>
      <c r="CT87" s="254"/>
      <c r="CU87" s="254"/>
      <c r="CV87" s="254"/>
      <c r="CW87" s="254"/>
      <c r="CX87" s="254"/>
      <c r="CY87" s="254"/>
      <c r="CZ87" s="254"/>
      <c r="DA87" s="254"/>
      <c r="DB87" s="254"/>
      <c r="DC87" s="254"/>
      <c r="DD87" s="254"/>
      <c r="DE87" s="254"/>
      <c r="DF87" s="254"/>
      <c r="DG87" s="254"/>
      <c r="DH87" s="254"/>
      <c r="DI87" s="254"/>
      <c r="DJ87" s="254"/>
      <c r="DK87" s="254"/>
      <c r="DL87" s="254"/>
      <c r="DM87" s="254"/>
      <c r="DN87" s="254"/>
      <c r="DO87" s="254"/>
      <c r="DP87" s="254"/>
      <c r="DQ87" s="254"/>
      <c r="DR87" s="254"/>
      <c r="DS87" s="254"/>
      <c r="DT87" s="254"/>
      <c r="DU87" s="254"/>
      <c r="DV87" s="254"/>
      <c r="DW87" s="254"/>
      <c r="DX87" s="254"/>
      <c r="DY87" s="254"/>
      <c r="DZ87" s="254"/>
      <c r="EA87" s="254"/>
      <c r="EB87" s="254"/>
      <c r="EC87" s="254"/>
      <c r="ED87" s="254"/>
      <c r="EE87" s="254"/>
      <c r="EF87" s="254"/>
      <c r="EG87" s="254"/>
      <c r="EH87" s="254"/>
      <c r="EI87" s="254"/>
      <c r="EJ87" s="254"/>
      <c r="EK87" s="254"/>
      <c r="EL87" s="254"/>
      <c r="EM87" s="254"/>
      <c r="EN87" s="254"/>
      <c r="EO87" s="254"/>
      <c r="EP87" s="254"/>
      <c r="EQ87" s="254"/>
      <c r="ER87" s="254"/>
      <c r="ES87" s="254"/>
      <c r="ET87" s="254"/>
      <c r="EU87" s="254"/>
      <c r="EV87" s="254"/>
      <c r="EW87" s="254"/>
      <c r="EX87" s="254"/>
      <c r="EY87" s="254"/>
      <c r="EZ87" s="254"/>
      <c r="FA87" s="254"/>
      <c r="FB87" s="254"/>
      <c r="FC87" s="254"/>
      <c r="FD87" s="254"/>
      <c r="FE87" s="254"/>
      <c r="FF87" s="254"/>
    </row>
    <row r="88" spans="1:162" s="264" customFormat="1" ht="18.75" customHeight="1">
      <c r="A88" s="350"/>
      <c r="B88" s="329" t="s">
        <v>193</v>
      </c>
      <c r="C88" s="329"/>
      <c r="D88" s="351" t="s">
        <v>379</v>
      </c>
      <c r="E88" s="326"/>
      <c r="F88" s="326"/>
      <c r="G88" s="326"/>
      <c r="H88" s="326"/>
      <c r="I88" s="326"/>
      <c r="J88" s="326">
        <v>100000</v>
      </c>
      <c r="K88" s="326">
        <v>80000</v>
      </c>
      <c r="L88" s="326">
        <v>45000</v>
      </c>
      <c r="M88" s="326"/>
      <c r="N88" s="326">
        <v>30000</v>
      </c>
      <c r="O88" s="326"/>
      <c r="P88" s="270"/>
      <c r="Q88" s="254"/>
      <c r="R88" s="255"/>
      <c r="S88" s="254"/>
      <c r="T88" s="253"/>
      <c r="U88" s="253"/>
      <c r="V88" s="254"/>
      <c r="W88" s="254"/>
      <c r="X88" s="254"/>
      <c r="Y88" s="254"/>
      <c r="Z88" s="254"/>
      <c r="AA88" s="254"/>
      <c r="AB88" s="254"/>
      <c r="AC88" s="254"/>
      <c r="AD88" s="254"/>
      <c r="AE88" s="254"/>
      <c r="AF88" s="254"/>
      <c r="AG88" s="254"/>
      <c r="AH88" s="254"/>
      <c r="AI88" s="254"/>
      <c r="AJ88" s="254"/>
      <c r="AK88" s="254"/>
      <c r="AL88" s="254"/>
      <c r="AM88" s="254"/>
      <c r="AN88" s="254"/>
      <c r="AO88" s="254"/>
      <c r="AP88" s="254"/>
      <c r="AQ88" s="254"/>
      <c r="AR88" s="254"/>
      <c r="AS88" s="254"/>
      <c r="AT88" s="254"/>
      <c r="AU88" s="254"/>
      <c r="AV88" s="254"/>
      <c r="AW88" s="254"/>
      <c r="AX88" s="254"/>
      <c r="AY88" s="254"/>
      <c r="AZ88" s="254"/>
      <c r="BA88" s="254"/>
      <c r="BB88" s="254"/>
      <c r="BC88" s="254"/>
      <c r="BD88" s="254"/>
      <c r="BE88" s="254"/>
      <c r="BF88" s="254"/>
      <c r="BG88" s="254"/>
      <c r="BH88" s="254"/>
      <c r="BI88" s="254"/>
      <c r="BJ88" s="254"/>
      <c r="BK88" s="254"/>
      <c r="BL88" s="254"/>
      <c r="BM88" s="254"/>
      <c r="BN88" s="254"/>
      <c r="BO88" s="254"/>
      <c r="BP88" s="254"/>
      <c r="BQ88" s="254"/>
      <c r="BR88" s="254"/>
      <c r="BS88" s="254"/>
      <c r="BT88" s="254"/>
      <c r="BU88" s="254"/>
      <c r="BV88" s="254"/>
      <c r="BW88" s="254"/>
      <c r="BX88" s="254"/>
      <c r="BY88" s="254"/>
      <c r="BZ88" s="254"/>
      <c r="CA88" s="254"/>
      <c r="CB88" s="254"/>
      <c r="CC88" s="254"/>
      <c r="CD88" s="254"/>
      <c r="CE88" s="254"/>
      <c r="CF88" s="254"/>
      <c r="CG88" s="254"/>
      <c r="CH88" s="254"/>
      <c r="CI88" s="254"/>
      <c r="CJ88" s="254"/>
      <c r="CK88" s="254"/>
      <c r="CL88" s="254"/>
      <c r="CM88" s="254"/>
      <c r="CN88" s="254"/>
      <c r="CO88" s="254"/>
      <c r="CP88" s="254"/>
      <c r="CQ88" s="254"/>
      <c r="CR88" s="254"/>
      <c r="CS88" s="254"/>
      <c r="CT88" s="254"/>
      <c r="CU88" s="254"/>
      <c r="CV88" s="254"/>
      <c r="CW88" s="254"/>
      <c r="CX88" s="254"/>
      <c r="CY88" s="254"/>
      <c r="CZ88" s="254"/>
      <c r="DA88" s="254"/>
      <c r="DB88" s="254"/>
      <c r="DC88" s="254"/>
      <c r="DD88" s="254"/>
      <c r="DE88" s="254"/>
      <c r="DF88" s="254"/>
      <c r="DG88" s="254"/>
      <c r="DH88" s="254"/>
      <c r="DI88" s="254"/>
      <c r="DJ88" s="254"/>
      <c r="DK88" s="254"/>
      <c r="DL88" s="254"/>
      <c r="DM88" s="254"/>
      <c r="DN88" s="254"/>
      <c r="DO88" s="254"/>
      <c r="DP88" s="254"/>
      <c r="DQ88" s="254"/>
      <c r="DR88" s="254"/>
      <c r="DS88" s="254"/>
      <c r="DT88" s="254"/>
      <c r="DU88" s="254"/>
      <c r="DV88" s="254"/>
      <c r="DW88" s="254"/>
      <c r="DX88" s="254"/>
      <c r="DY88" s="254"/>
      <c r="DZ88" s="254"/>
      <c r="EA88" s="254"/>
      <c r="EB88" s="254"/>
      <c r="EC88" s="254"/>
      <c r="ED88" s="254"/>
      <c r="EE88" s="254"/>
      <c r="EF88" s="254"/>
      <c r="EG88" s="254"/>
      <c r="EH88" s="254"/>
      <c r="EI88" s="254"/>
      <c r="EJ88" s="254"/>
      <c r="EK88" s="254"/>
      <c r="EL88" s="254"/>
      <c r="EM88" s="254"/>
      <c r="EN88" s="254"/>
      <c r="EO88" s="254"/>
      <c r="EP88" s="254"/>
      <c r="EQ88" s="254"/>
      <c r="ER88" s="254"/>
      <c r="ES88" s="254"/>
      <c r="ET88" s="254"/>
      <c r="EU88" s="254"/>
      <c r="EV88" s="254"/>
      <c r="EW88" s="254"/>
      <c r="EX88" s="254"/>
      <c r="EY88" s="254"/>
      <c r="EZ88" s="254"/>
      <c r="FA88" s="254"/>
      <c r="FB88" s="254"/>
      <c r="FC88" s="254"/>
      <c r="FD88" s="254"/>
      <c r="FE88" s="254"/>
      <c r="FF88" s="254"/>
    </row>
    <row r="89" spans="1:162" s="267" customFormat="1" ht="23.25" customHeight="1">
      <c r="A89" s="339"/>
      <c r="B89" s="352" t="s">
        <v>194</v>
      </c>
      <c r="C89" s="352"/>
      <c r="D89" s="341" t="s">
        <v>282</v>
      </c>
      <c r="E89" s="326"/>
      <c r="F89" s="326"/>
      <c r="G89" s="326"/>
      <c r="H89" s="326">
        <v>1300000</v>
      </c>
      <c r="I89" s="326"/>
      <c r="J89" s="326">
        <v>1600000</v>
      </c>
      <c r="K89" s="326">
        <v>1200000</v>
      </c>
      <c r="L89" s="326">
        <v>1300000</v>
      </c>
      <c r="M89" s="326"/>
      <c r="N89" s="326">
        <v>380000</v>
      </c>
      <c r="O89" s="326"/>
      <c r="P89" s="266"/>
      <c r="Q89" s="254"/>
      <c r="R89" s="255"/>
      <c r="S89" s="254"/>
      <c r="T89" s="253"/>
      <c r="U89" s="253"/>
      <c r="V89" s="254"/>
      <c r="W89" s="254"/>
      <c r="X89" s="254"/>
      <c r="Y89" s="254"/>
      <c r="Z89" s="254"/>
      <c r="AA89" s="254"/>
      <c r="AB89" s="254"/>
      <c r="AC89" s="254"/>
      <c r="AD89" s="254"/>
      <c r="AE89" s="254"/>
      <c r="AF89" s="254"/>
      <c r="AG89" s="254"/>
      <c r="AH89" s="254"/>
      <c r="AI89" s="254"/>
      <c r="AJ89" s="254"/>
      <c r="AK89" s="254"/>
      <c r="AL89" s="254"/>
      <c r="AM89" s="254"/>
      <c r="AN89" s="254"/>
      <c r="AO89" s="254"/>
      <c r="AP89" s="254"/>
      <c r="AQ89" s="254"/>
      <c r="AR89" s="254"/>
      <c r="AS89" s="254"/>
      <c r="AT89" s="254"/>
      <c r="AU89" s="254"/>
      <c r="AV89" s="254"/>
      <c r="AW89" s="254"/>
      <c r="AX89" s="254"/>
      <c r="AY89" s="254"/>
      <c r="AZ89" s="254"/>
      <c r="BA89" s="254"/>
      <c r="BB89" s="254"/>
      <c r="BC89" s="254"/>
      <c r="BD89" s="254"/>
      <c r="BE89" s="254"/>
      <c r="BF89" s="254"/>
      <c r="BG89" s="254"/>
      <c r="BH89" s="254"/>
      <c r="BI89" s="254"/>
      <c r="BJ89" s="254"/>
      <c r="BK89" s="254"/>
      <c r="BL89" s="254"/>
      <c r="BM89" s="254"/>
      <c r="BN89" s="254"/>
      <c r="BO89" s="254"/>
      <c r="BP89" s="254"/>
      <c r="BQ89" s="254"/>
      <c r="BR89" s="254"/>
      <c r="BS89" s="254"/>
      <c r="BT89" s="254"/>
      <c r="BU89" s="254"/>
      <c r="BV89" s="254"/>
      <c r="BW89" s="254"/>
      <c r="BX89" s="254"/>
      <c r="BY89" s="254"/>
      <c r="BZ89" s="254"/>
      <c r="CA89" s="254"/>
      <c r="CB89" s="254"/>
      <c r="CC89" s="254"/>
      <c r="CD89" s="254"/>
      <c r="CE89" s="254"/>
      <c r="CF89" s="254"/>
      <c r="CG89" s="254"/>
      <c r="CH89" s="254"/>
      <c r="CI89" s="254"/>
      <c r="CJ89" s="254"/>
      <c r="CK89" s="254"/>
      <c r="CL89" s="254"/>
      <c r="CM89" s="254"/>
      <c r="CN89" s="254"/>
      <c r="CO89" s="254"/>
      <c r="CP89" s="254"/>
      <c r="CQ89" s="254"/>
      <c r="CR89" s="254"/>
      <c r="CS89" s="254"/>
      <c r="CT89" s="254"/>
      <c r="CU89" s="254"/>
      <c r="CV89" s="254"/>
      <c r="CW89" s="254"/>
      <c r="CX89" s="254"/>
      <c r="CY89" s="254"/>
      <c r="CZ89" s="254"/>
      <c r="DA89" s="254"/>
      <c r="DB89" s="254"/>
      <c r="DC89" s="254"/>
      <c r="DD89" s="254"/>
      <c r="DE89" s="254"/>
      <c r="DF89" s="254"/>
      <c r="DG89" s="254"/>
      <c r="DH89" s="254"/>
      <c r="DI89" s="254"/>
      <c r="DJ89" s="254"/>
      <c r="DK89" s="254"/>
      <c r="DL89" s="254"/>
      <c r="DM89" s="254"/>
      <c r="DN89" s="254"/>
      <c r="DO89" s="254"/>
      <c r="DP89" s="254"/>
      <c r="DQ89" s="254"/>
      <c r="DR89" s="254"/>
      <c r="DS89" s="254"/>
      <c r="DT89" s="254"/>
      <c r="DU89" s="254"/>
      <c r="DV89" s="254"/>
      <c r="DW89" s="254"/>
      <c r="DX89" s="254"/>
      <c r="DY89" s="254"/>
      <c r="DZ89" s="254"/>
      <c r="EA89" s="254"/>
      <c r="EB89" s="254"/>
      <c r="EC89" s="254"/>
      <c r="ED89" s="254"/>
      <c r="EE89" s="254"/>
      <c r="EF89" s="254"/>
      <c r="EG89" s="254"/>
      <c r="EH89" s="254"/>
      <c r="EI89" s="254"/>
      <c r="EJ89" s="254"/>
      <c r="EK89" s="254"/>
      <c r="EL89" s="254"/>
      <c r="EM89" s="254"/>
      <c r="EN89" s="254"/>
      <c r="EO89" s="254"/>
      <c r="EP89" s="254"/>
      <c r="EQ89" s="254"/>
      <c r="ER89" s="254"/>
      <c r="ES89" s="254"/>
      <c r="ET89" s="254"/>
      <c r="EU89" s="254"/>
      <c r="EV89" s="254"/>
      <c r="EW89" s="254"/>
      <c r="EX89" s="254"/>
      <c r="EY89" s="254"/>
      <c r="EZ89" s="254"/>
      <c r="FA89" s="254"/>
      <c r="FB89" s="254"/>
      <c r="FC89" s="254"/>
      <c r="FD89" s="254"/>
      <c r="FE89" s="254"/>
      <c r="FF89" s="254"/>
    </row>
    <row r="90" spans="1:162" s="267" customFormat="1" ht="18" customHeight="1">
      <c r="A90" s="353"/>
      <c r="B90" s="378" t="s">
        <v>2596</v>
      </c>
      <c r="C90" s="378"/>
      <c r="D90" s="379"/>
      <c r="E90" s="379"/>
      <c r="F90" s="379"/>
      <c r="G90" s="379"/>
      <c r="H90" s="379"/>
      <c r="I90" s="379"/>
      <c r="J90" s="379"/>
      <c r="K90" s="379"/>
      <c r="L90" s="379"/>
      <c r="M90" s="379"/>
      <c r="N90" s="379"/>
      <c r="O90" s="379"/>
      <c r="P90" s="266"/>
      <c r="Q90" s="254"/>
      <c r="R90" s="255"/>
      <c r="S90" s="254"/>
      <c r="T90" s="253"/>
      <c r="U90" s="253"/>
      <c r="V90" s="254"/>
      <c r="W90" s="254"/>
      <c r="X90" s="254"/>
      <c r="Y90" s="254"/>
      <c r="Z90" s="254"/>
      <c r="AA90" s="254"/>
      <c r="AB90" s="254"/>
      <c r="AC90" s="254"/>
      <c r="AD90" s="254"/>
      <c r="AE90" s="254"/>
      <c r="AF90" s="254"/>
      <c r="AG90" s="254"/>
      <c r="AH90" s="254"/>
      <c r="AI90" s="254"/>
      <c r="AJ90" s="254"/>
      <c r="AK90" s="254"/>
      <c r="AL90" s="254"/>
      <c r="AM90" s="254"/>
      <c r="AN90" s="254"/>
      <c r="AO90" s="254"/>
      <c r="AP90" s="254"/>
      <c r="AQ90" s="254"/>
      <c r="AR90" s="254"/>
      <c r="AS90" s="254"/>
      <c r="AT90" s="254"/>
      <c r="AU90" s="254"/>
      <c r="AV90" s="254"/>
      <c r="AW90" s="254"/>
      <c r="AX90" s="254"/>
      <c r="AY90" s="254"/>
      <c r="AZ90" s="254"/>
      <c r="BA90" s="254"/>
      <c r="BB90" s="254"/>
      <c r="BC90" s="254"/>
      <c r="BD90" s="254"/>
      <c r="BE90" s="254"/>
      <c r="BF90" s="254"/>
      <c r="BG90" s="254"/>
      <c r="BH90" s="254"/>
      <c r="BI90" s="254"/>
      <c r="BJ90" s="254"/>
      <c r="BK90" s="254"/>
      <c r="BL90" s="254"/>
      <c r="BM90" s="254"/>
      <c r="BN90" s="254"/>
      <c r="BO90" s="254"/>
      <c r="BP90" s="254"/>
      <c r="BQ90" s="254"/>
      <c r="BR90" s="254"/>
      <c r="BS90" s="254"/>
      <c r="BT90" s="254"/>
      <c r="BU90" s="254"/>
      <c r="BV90" s="254"/>
      <c r="BW90" s="254"/>
      <c r="BX90" s="254"/>
      <c r="BY90" s="254"/>
      <c r="BZ90" s="254"/>
      <c r="CA90" s="254"/>
      <c r="CB90" s="254"/>
      <c r="CC90" s="254"/>
      <c r="CD90" s="254"/>
      <c r="CE90" s="254"/>
      <c r="CF90" s="254"/>
      <c r="CG90" s="254"/>
      <c r="CH90" s="254"/>
      <c r="CI90" s="254"/>
      <c r="CJ90" s="254"/>
      <c r="CK90" s="254"/>
      <c r="CL90" s="254"/>
      <c r="CM90" s="254"/>
      <c r="CN90" s="254"/>
      <c r="CO90" s="254"/>
      <c r="CP90" s="254"/>
      <c r="CQ90" s="254"/>
      <c r="CR90" s="254"/>
      <c r="CS90" s="254"/>
      <c r="CT90" s="254"/>
      <c r="CU90" s="254"/>
      <c r="CV90" s="254"/>
      <c r="CW90" s="254"/>
      <c r="CX90" s="254"/>
      <c r="CY90" s="254"/>
      <c r="CZ90" s="254"/>
      <c r="DA90" s="254"/>
      <c r="DB90" s="254"/>
      <c r="DC90" s="254"/>
      <c r="DD90" s="254"/>
      <c r="DE90" s="254"/>
      <c r="DF90" s="254"/>
      <c r="DG90" s="254"/>
      <c r="DH90" s="254"/>
      <c r="DI90" s="254"/>
      <c r="DJ90" s="254"/>
      <c r="DK90" s="254"/>
      <c r="DL90" s="254"/>
      <c r="DM90" s="254"/>
      <c r="DN90" s="254"/>
      <c r="DO90" s="254"/>
      <c r="DP90" s="254"/>
      <c r="DQ90" s="254"/>
      <c r="DR90" s="254"/>
      <c r="DS90" s="254"/>
      <c r="DT90" s="254"/>
      <c r="DU90" s="254"/>
      <c r="DV90" s="254"/>
      <c r="DW90" s="254"/>
      <c r="DX90" s="254"/>
      <c r="DY90" s="254"/>
      <c r="DZ90" s="254"/>
      <c r="EA90" s="254"/>
      <c r="EB90" s="254"/>
      <c r="EC90" s="254"/>
      <c r="ED90" s="254"/>
      <c r="EE90" s="254"/>
      <c r="EF90" s="254"/>
      <c r="EG90" s="254"/>
      <c r="EH90" s="254"/>
      <c r="EI90" s="254"/>
      <c r="EJ90" s="254"/>
      <c r="EK90" s="254"/>
      <c r="EL90" s="254"/>
      <c r="EM90" s="254"/>
      <c r="EN90" s="254"/>
      <c r="EO90" s="254"/>
      <c r="EP90" s="254"/>
      <c r="EQ90" s="254"/>
      <c r="ER90" s="254"/>
      <c r="ES90" s="254"/>
      <c r="ET90" s="254"/>
      <c r="EU90" s="254"/>
      <c r="EV90" s="254"/>
      <c r="EW90" s="254"/>
      <c r="EX90" s="254"/>
      <c r="EY90" s="254"/>
      <c r="EZ90" s="254"/>
      <c r="FA90" s="254"/>
      <c r="FB90" s="254"/>
      <c r="FC90" s="254"/>
      <c r="FD90" s="254"/>
      <c r="FE90" s="254"/>
      <c r="FF90" s="254"/>
    </row>
    <row r="91" spans="1:162" s="267" customFormat="1" ht="15.75">
      <c r="A91" s="323">
        <v>7</v>
      </c>
      <c r="B91" s="347" t="s">
        <v>566</v>
      </c>
      <c r="C91" s="329" t="s">
        <v>2581</v>
      </c>
      <c r="D91" s="354"/>
      <c r="E91" s="326"/>
      <c r="F91" s="326"/>
      <c r="G91" s="326"/>
      <c r="H91" s="326"/>
      <c r="I91" s="326"/>
      <c r="J91" s="326"/>
      <c r="K91" s="326"/>
      <c r="L91" s="326"/>
      <c r="M91" s="326"/>
      <c r="N91" s="326"/>
      <c r="O91" s="326"/>
      <c r="P91" s="271"/>
      <c r="Q91" s="254"/>
      <c r="R91" s="254"/>
      <c r="S91" s="254"/>
      <c r="T91" s="254"/>
      <c r="U91" s="254"/>
      <c r="V91" s="254"/>
      <c r="W91" s="254"/>
      <c r="X91" s="254"/>
      <c r="Y91" s="254"/>
      <c r="Z91" s="254"/>
      <c r="AA91" s="254"/>
      <c r="AB91" s="254"/>
      <c r="AC91" s="254"/>
      <c r="AD91" s="254"/>
      <c r="AE91" s="254"/>
      <c r="AF91" s="254"/>
      <c r="AG91" s="254"/>
      <c r="AH91" s="254"/>
      <c r="AI91" s="254"/>
      <c r="AJ91" s="254"/>
      <c r="AK91" s="254"/>
      <c r="AL91" s="254"/>
      <c r="AM91" s="254"/>
      <c r="AN91" s="254"/>
      <c r="AO91" s="254"/>
      <c r="AP91" s="254"/>
      <c r="AQ91" s="254"/>
      <c r="AR91" s="254"/>
      <c r="AS91" s="254"/>
      <c r="AT91" s="254"/>
      <c r="AU91" s="254"/>
      <c r="AV91" s="254"/>
      <c r="AW91" s="254"/>
      <c r="AX91" s="254"/>
      <c r="AY91" s="254"/>
      <c r="AZ91" s="254"/>
      <c r="BA91" s="254"/>
      <c r="BB91" s="254"/>
      <c r="BC91" s="254"/>
      <c r="BD91" s="254"/>
      <c r="BE91" s="254"/>
      <c r="BF91" s="254"/>
      <c r="BG91" s="254"/>
      <c r="BH91" s="254"/>
      <c r="BI91" s="254"/>
      <c r="BJ91" s="254"/>
      <c r="BK91" s="254"/>
      <c r="BL91" s="254"/>
      <c r="BM91" s="254"/>
      <c r="BN91" s="254"/>
      <c r="BO91" s="254"/>
      <c r="BP91" s="254"/>
      <c r="BQ91" s="254"/>
      <c r="BR91" s="254"/>
      <c r="BS91" s="254"/>
      <c r="BT91" s="254"/>
      <c r="BU91" s="254"/>
      <c r="BV91" s="254"/>
      <c r="BW91" s="254"/>
      <c r="BX91" s="254"/>
      <c r="BY91" s="254"/>
      <c r="BZ91" s="254"/>
      <c r="CA91" s="254"/>
      <c r="CB91" s="254"/>
      <c r="CC91" s="254"/>
      <c r="CD91" s="254"/>
      <c r="CE91" s="254"/>
      <c r="CF91" s="254"/>
      <c r="CG91" s="254"/>
      <c r="CH91" s="254"/>
      <c r="CI91" s="254"/>
      <c r="CJ91" s="254"/>
      <c r="CK91" s="254"/>
      <c r="CL91" s="254"/>
      <c r="CM91" s="254"/>
      <c r="CN91" s="254"/>
      <c r="CO91" s="254"/>
      <c r="CP91" s="254"/>
      <c r="CQ91" s="254"/>
      <c r="CR91" s="254"/>
      <c r="CS91" s="254"/>
      <c r="CT91" s="254"/>
      <c r="CU91" s="254"/>
      <c r="CV91" s="254"/>
      <c r="CW91" s="254"/>
      <c r="CX91" s="254"/>
      <c r="CY91" s="254"/>
      <c r="CZ91" s="254"/>
      <c r="DA91" s="254"/>
      <c r="DB91" s="254"/>
      <c r="DC91" s="254"/>
      <c r="DD91" s="254"/>
      <c r="DE91" s="254"/>
      <c r="DF91" s="254"/>
      <c r="DG91" s="254"/>
      <c r="DH91" s="254"/>
      <c r="DI91" s="254"/>
      <c r="DJ91" s="254"/>
      <c r="DK91" s="254"/>
      <c r="DL91" s="254"/>
      <c r="DM91" s="254"/>
      <c r="DN91" s="254"/>
      <c r="DO91" s="254"/>
      <c r="DP91" s="254"/>
      <c r="DQ91" s="254"/>
      <c r="DR91" s="254"/>
      <c r="DS91" s="254"/>
      <c r="DT91" s="254"/>
      <c r="DU91" s="254"/>
      <c r="DV91" s="254"/>
      <c r="DW91" s="254"/>
      <c r="DX91" s="254"/>
      <c r="DY91" s="254"/>
      <c r="DZ91" s="254"/>
      <c r="EA91" s="254"/>
      <c r="EB91" s="254"/>
      <c r="EC91" s="254"/>
      <c r="ED91" s="254"/>
      <c r="EE91" s="254"/>
      <c r="EF91" s="254"/>
      <c r="EG91" s="254"/>
      <c r="EH91" s="254"/>
      <c r="EI91" s="254"/>
      <c r="EJ91" s="254"/>
      <c r="EK91" s="254"/>
      <c r="EL91" s="254"/>
      <c r="EM91" s="254"/>
      <c r="EN91" s="254"/>
      <c r="EO91" s="254"/>
      <c r="EP91" s="254"/>
      <c r="EQ91" s="254"/>
      <c r="ER91" s="254"/>
      <c r="ES91" s="254"/>
      <c r="ET91" s="254"/>
      <c r="EU91" s="254"/>
      <c r="EV91" s="254"/>
      <c r="EW91" s="254"/>
      <c r="EX91" s="254"/>
      <c r="EY91" s="254"/>
      <c r="EZ91" s="254"/>
      <c r="FA91" s="254"/>
      <c r="FB91" s="254"/>
      <c r="FC91" s="254"/>
      <c r="FD91" s="254"/>
      <c r="FE91" s="254"/>
      <c r="FF91" s="254"/>
    </row>
    <row r="92" spans="1:162" s="267" customFormat="1" ht="25.5">
      <c r="A92" s="327"/>
      <c r="B92" s="352" t="s">
        <v>60</v>
      </c>
      <c r="C92" s="352"/>
      <c r="D92" s="325" t="s">
        <v>516</v>
      </c>
      <c r="E92" s="326">
        <f>54000/(0.9*1.5)</f>
        <v>40000</v>
      </c>
      <c r="F92" s="326">
        <f>55000/(0.9*1.5)</f>
        <v>40740.74074074074</v>
      </c>
      <c r="G92" s="326">
        <f>52000/(0.9*1.5)</f>
        <v>38518.51851851852</v>
      </c>
      <c r="H92" s="326">
        <f>52000/(0.9*1.5)</f>
        <v>38518.51851851852</v>
      </c>
      <c r="I92" s="326">
        <f>54000/(0.9*1.5)</f>
        <v>40000</v>
      </c>
      <c r="J92" s="326"/>
      <c r="K92" s="326">
        <v>40000</v>
      </c>
      <c r="L92" s="326">
        <f>M92</f>
        <v>40740.74074074074</v>
      </c>
      <c r="M92" s="326">
        <f>55000/(0.9*1.5)</f>
        <v>40740.74074074074</v>
      </c>
      <c r="N92" s="326">
        <f>52000/(0.9*1.5)</f>
        <v>38518.51851851852</v>
      </c>
      <c r="O92" s="326"/>
      <c r="P92" s="266"/>
      <c r="Q92" s="254"/>
      <c r="R92" s="254"/>
      <c r="S92" s="254"/>
      <c r="T92" s="254"/>
      <c r="U92" s="254"/>
      <c r="V92" s="254"/>
      <c r="W92" s="254"/>
      <c r="X92" s="254"/>
      <c r="Y92" s="254"/>
      <c r="Z92" s="254"/>
      <c r="AA92" s="254"/>
      <c r="AB92" s="254"/>
      <c r="AC92" s="254"/>
      <c r="AD92" s="254"/>
      <c r="AE92" s="254"/>
      <c r="AF92" s="254"/>
      <c r="AG92" s="254"/>
      <c r="AH92" s="254"/>
      <c r="AI92" s="254"/>
      <c r="AJ92" s="254"/>
      <c r="AK92" s="254"/>
      <c r="AL92" s="254"/>
      <c r="AM92" s="254"/>
      <c r="AN92" s="254"/>
      <c r="AO92" s="254"/>
      <c r="AP92" s="254"/>
      <c r="AQ92" s="254"/>
      <c r="AR92" s="254"/>
      <c r="AS92" s="254"/>
      <c r="AT92" s="254"/>
      <c r="AU92" s="254"/>
      <c r="AV92" s="254"/>
      <c r="AW92" s="254"/>
      <c r="AX92" s="254"/>
      <c r="AY92" s="254"/>
      <c r="AZ92" s="254"/>
      <c r="BA92" s="254"/>
      <c r="BB92" s="254"/>
      <c r="BC92" s="254"/>
      <c r="BD92" s="254"/>
      <c r="BE92" s="254"/>
      <c r="BF92" s="254"/>
      <c r="BG92" s="254"/>
      <c r="BH92" s="254"/>
      <c r="BI92" s="254"/>
      <c r="BJ92" s="254"/>
      <c r="BK92" s="254"/>
      <c r="BL92" s="254"/>
      <c r="BM92" s="254"/>
      <c r="BN92" s="254"/>
      <c r="BO92" s="254"/>
      <c r="BP92" s="254"/>
      <c r="BQ92" s="254"/>
      <c r="BR92" s="254"/>
      <c r="BS92" s="254"/>
      <c r="BT92" s="254"/>
      <c r="BU92" s="254"/>
      <c r="BV92" s="254"/>
      <c r="BW92" s="254"/>
      <c r="BX92" s="254"/>
      <c r="BY92" s="254"/>
      <c r="BZ92" s="254"/>
      <c r="CA92" s="254"/>
      <c r="CB92" s="254"/>
      <c r="CC92" s="254"/>
      <c r="CD92" s="254"/>
      <c r="CE92" s="254"/>
      <c r="CF92" s="254"/>
      <c r="CG92" s="254"/>
      <c r="CH92" s="254"/>
      <c r="CI92" s="254"/>
      <c r="CJ92" s="254"/>
      <c r="CK92" s="254"/>
      <c r="CL92" s="254"/>
      <c r="CM92" s="254"/>
      <c r="CN92" s="254"/>
      <c r="CO92" s="254"/>
      <c r="CP92" s="254"/>
      <c r="CQ92" s="254"/>
      <c r="CR92" s="254"/>
      <c r="CS92" s="254"/>
      <c r="CT92" s="254"/>
      <c r="CU92" s="254"/>
      <c r="CV92" s="254"/>
      <c r="CW92" s="254"/>
      <c r="CX92" s="254"/>
      <c r="CY92" s="254"/>
      <c r="CZ92" s="254"/>
      <c r="DA92" s="254"/>
      <c r="DB92" s="254"/>
      <c r="DC92" s="254"/>
      <c r="DD92" s="254"/>
      <c r="DE92" s="254"/>
      <c r="DF92" s="254"/>
      <c r="DG92" s="254"/>
      <c r="DH92" s="254"/>
      <c r="DI92" s="254"/>
      <c r="DJ92" s="254"/>
      <c r="DK92" s="254"/>
      <c r="DL92" s="254"/>
      <c r="DM92" s="254"/>
      <c r="DN92" s="254"/>
      <c r="DO92" s="254"/>
      <c r="DP92" s="254"/>
      <c r="DQ92" s="254"/>
      <c r="DR92" s="254"/>
      <c r="DS92" s="254"/>
      <c r="DT92" s="254"/>
      <c r="DU92" s="254"/>
      <c r="DV92" s="254"/>
      <c r="DW92" s="254"/>
      <c r="DX92" s="254"/>
      <c r="DY92" s="254"/>
      <c r="DZ92" s="254"/>
      <c r="EA92" s="254"/>
      <c r="EB92" s="254"/>
      <c r="EC92" s="254"/>
      <c r="ED92" s="254"/>
      <c r="EE92" s="254"/>
      <c r="EF92" s="254"/>
      <c r="EG92" s="254"/>
      <c r="EH92" s="254"/>
      <c r="EI92" s="254"/>
      <c r="EJ92" s="254"/>
      <c r="EK92" s="254"/>
      <c r="EL92" s="254"/>
      <c r="EM92" s="254"/>
      <c r="EN92" s="254"/>
      <c r="EO92" s="254"/>
      <c r="EP92" s="254"/>
      <c r="EQ92" s="254"/>
      <c r="ER92" s="254"/>
      <c r="ES92" s="254"/>
      <c r="ET92" s="254"/>
      <c r="EU92" s="254"/>
      <c r="EV92" s="254"/>
      <c r="EW92" s="254"/>
      <c r="EX92" s="254"/>
      <c r="EY92" s="254"/>
      <c r="EZ92" s="254"/>
      <c r="FA92" s="254"/>
      <c r="FB92" s="254"/>
      <c r="FC92" s="254"/>
      <c r="FD92" s="254"/>
      <c r="FE92" s="254"/>
      <c r="FF92" s="254"/>
    </row>
    <row r="93" spans="1:162" s="267" customFormat="1" ht="37.5" customHeight="1">
      <c r="A93" s="327"/>
      <c r="B93" s="352" t="s">
        <v>1287</v>
      </c>
      <c r="C93" s="352"/>
      <c r="D93" s="325" t="s">
        <v>516</v>
      </c>
      <c r="E93" s="326">
        <f>44000/(0.9*1.5)</f>
        <v>32592.59259259259</v>
      </c>
      <c r="F93" s="326"/>
      <c r="G93" s="326"/>
      <c r="H93" s="326"/>
      <c r="I93" s="326">
        <f>45000/(0.9*1.5)</f>
        <v>33333.33333333333</v>
      </c>
      <c r="J93" s="326">
        <f>43000/(0.9*1.5)</f>
        <v>31851.85185185185</v>
      </c>
      <c r="K93" s="326"/>
      <c r="L93" s="326">
        <f>45000/(0.9*1.5)</f>
        <v>33333.33333333333</v>
      </c>
      <c r="M93" s="326">
        <f>45000/(0.9*1.5)</f>
        <v>33333.33333333333</v>
      </c>
      <c r="N93" s="326">
        <f>40000/(0.9*1.5)</f>
        <v>29629.629629629628</v>
      </c>
      <c r="O93" s="326">
        <f>40000/(0.9*1.5)</f>
        <v>29629.629629629628</v>
      </c>
      <c r="P93" s="266"/>
      <c r="Q93" s="254"/>
      <c r="R93" s="254"/>
      <c r="S93" s="254"/>
      <c r="T93" s="254"/>
      <c r="U93" s="254"/>
      <c r="V93" s="254"/>
      <c r="W93" s="254"/>
      <c r="X93" s="254"/>
      <c r="Y93" s="254"/>
      <c r="Z93" s="254"/>
      <c r="AA93" s="254"/>
      <c r="AB93" s="254"/>
      <c r="AC93" s="254"/>
      <c r="AD93" s="254"/>
      <c r="AE93" s="254"/>
      <c r="AF93" s="254"/>
      <c r="AG93" s="254"/>
      <c r="AH93" s="254"/>
      <c r="AI93" s="254"/>
      <c r="AJ93" s="254"/>
      <c r="AK93" s="254"/>
      <c r="AL93" s="254"/>
      <c r="AM93" s="254"/>
      <c r="AN93" s="254"/>
      <c r="AO93" s="254"/>
      <c r="AP93" s="254"/>
      <c r="AQ93" s="254"/>
      <c r="AR93" s="254"/>
      <c r="AS93" s="254"/>
      <c r="AT93" s="254"/>
      <c r="AU93" s="254"/>
      <c r="AV93" s="254"/>
      <c r="AW93" s="254"/>
      <c r="AX93" s="254"/>
      <c r="AY93" s="254"/>
      <c r="AZ93" s="254"/>
      <c r="BA93" s="254"/>
      <c r="BB93" s="254"/>
      <c r="BC93" s="254"/>
      <c r="BD93" s="254"/>
      <c r="BE93" s="254"/>
      <c r="BF93" s="254"/>
      <c r="BG93" s="254"/>
      <c r="BH93" s="254"/>
      <c r="BI93" s="254"/>
      <c r="BJ93" s="254"/>
      <c r="BK93" s="254"/>
      <c r="BL93" s="254"/>
      <c r="BM93" s="254"/>
      <c r="BN93" s="254"/>
      <c r="BO93" s="254"/>
      <c r="BP93" s="254"/>
      <c r="BQ93" s="254"/>
      <c r="BR93" s="254"/>
      <c r="BS93" s="254"/>
      <c r="BT93" s="254"/>
      <c r="BU93" s="254"/>
      <c r="BV93" s="254"/>
      <c r="BW93" s="254"/>
      <c r="BX93" s="254"/>
      <c r="BY93" s="254"/>
      <c r="BZ93" s="254"/>
      <c r="CA93" s="254"/>
      <c r="CB93" s="254"/>
      <c r="CC93" s="254"/>
      <c r="CD93" s="254"/>
      <c r="CE93" s="254"/>
      <c r="CF93" s="254"/>
      <c r="CG93" s="254"/>
      <c r="CH93" s="254"/>
      <c r="CI93" s="254"/>
      <c r="CJ93" s="254"/>
      <c r="CK93" s="254"/>
      <c r="CL93" s="254"/>
      <c r="CM93" s="254"/>
      <c r="CN93" s="254"/>
      <c r="CO93" s="254"/>
      <c r="CP93" s="254"/>
      <c r="CQ93" s="254"/>
      <c r="CR93" s="254"/>
      <c r="CS93" s="254"/>
      <c r="CT93" s="254"/>
      <c r="CU93" s="254"/>
      <c r="CV93" s="254"/>
      <c r="CW93" s="254"/>
      <c r="CX93" s="254"/>
      <c r="CY93" s="254"/>
      <c r="CZ93" s="254"/>
      <c r="DA93" s="254"/>
      <c r="DB93" s="254"/>
      <c r="DC93" s="254"/>
      <c r="DD93" s="254"/>
      <c r="DE93" s="254"/>
      <c r="DF93" s="254"/>
      <c r="DG93" s="254"/>
      <c r="DH93" s="254"/>
      <c r="DI93" s="254"/>
      <c r="DJ93" s="254"/>
      <c r="DK93" s="254"/>
      <c r="DL93" s="254"/>
      <c r="DM93" s="254"/>
      <c r="DN93" s="254"/>
      <c r="DO93" s="254"/>
      <c r="DP93" s="254"/>
      <c r="DQ93" s="254"/>
      <c r="DR93" s="254"/>
      <c r="DS93" s="254"/>
      <c r="DT93" s="254"/>
      <c r="DU93" s="254"/>
      <c r="DV93" s="254"/>
      <c r="DW93" s="254"/>
      <c r="DX93" s="254"/>
      <c r="DY93" s="254"/>
      <c r="DZ93" s="254"/>
      <c r="EA93" s="254"/>
      <c r="EB93" s="254"/>
      <c r="EC93" s="254"/>
      <c r="ED93" s="254"/>
      <c r="EE93" s="254"/>
      <c r="EF93" s="254"/>
      <c r="EG93" s="254"/>
      <c r="EH93" s="254"/>
      <c r="EI93" s="254"/>
      <c r="EJ93" s="254"/>
      <c r="EK93" s="254"/>
      <c r="EL93" s="254"/>
      <c r="EM93" s="254"/>
      <c r="EN93" s="254"/>
      <c r="EO93" s="254"/>
      <c r="EP93" s="254"/>
      <c r="EQ93" s="254"/>
      <c r="ER93" s="254"/>
      <c r="ES93" s="254"/>
      <c r="ET93" s="254"/>
      <c r="EU93" s="254"/>
      <c r="EV93" s="254"/>
      <c r="EW93" s="254"/>
      <c r="EX93" s="254"/>
      <c r="EY93" s="254"/>
      <c r="EZ93" s="254"/>
      <c r="FA93" s="254"/>
      <c r="FB93" s="254"/>
      <c r="FC93" s="254"/>
      <c r="FD93" s="254"/>
      <c r="FE93" s="254"/>
      <c r="FF93" s="254"/>
    </row>
    <row r="94" spans="1:162" s="267" customFormat="1" ht="18" customHeight="1">
      <c r="A94" s="327"/>
      <c r="B94" s="342" t="s">
        <v>594</v>
      </c>
      <c r="C94" s="342"/>
      <c r="D94" s="325" t="s">
        <v>379</v>
      </c>
      <c r="E94" s="326">
        <v>17000</v>
      </c>
      <c r="F94" s="326">
        <v>18000</v>
      </c>
      <c r="G94" s="326">
        <v>17000</v>
      </c>
      <c r="H94" s="326">
        <v>17000</v>
      </c>
      <c r="I94" s="326">
        <v>15000</v>
      </c>
      <c r="J94" s="326">
        <v>15000</v>
      </c>
      <c r="K94" s="326">
        <v>15000</v>
      </c>
      <c r="L94" s="326">
        <v>20000</v>
      </c>
      <c r="M94" s="326">
        <f>22000/1.1</f>
        <v>20000</v>
      </c>
      <c r="N94" s="326">
        <v>15000</v>
      </c>
      <c r="O94" s="326">
        <v>15000</v>
      </c>
      <c r="P94" s="266"/>
      <c r="Q94" s="254"/>
      <c r="R94" s="254"/>
      <c r="S94" s="254"/>
      <c r="T94" s="254"/>
      <c r="U94" s="254"/>
      <c r="V94" s="254"/>
      <c r="W94" s="254"/>
      <c r="X94" s="254"/>
      <c r="Y94" s="254"/>
      <c r="Z94" s="254"/>
      <c r="AA94" s="254"/>
      <c r="AB94" s="254"/>
      <c r="AC94" s="254"/>
      <c r="AD94" s="254"/>
      <c r="AE94" s="254"/>
      <c r="AF94" s="254"/>
      <c r="AG94" s="254"/>
      <c r="AH94" s="254"/>
      <c r="AI94" s="254"/>
      <c r="AJ94" s="254"/>
      <c r="AK94" s="254"/>
      <c r="AL94" s="254"/>
      <c r="AM94" s="254"/>
      <c r="AN94" s="254"/>
      <c r="AO94" s="254"/>
      <c r="AP94" s="254"/>
      <c r="AQ94" s="254"/>
      <c r="AR94" s="254"/>
      <c r="AS94" s="254"/>
      <c r="AT94" s="254"/>
      <c r="AU94" s="254"/>
      <c r="AV94" s="254"/>
      <c r="AW94" s="254"/>
      <c r="AX94" s="254"/>
      <c r="AY94" s="254"/>
      <c r="AZ94" s="254"/>
      <c r="BA94" s="254"/>
      <c r="BB94" s="254"/>
      <c r="BC94" s="254"/>
      <c r="BD94" s="254"/>
      <c r="BE94" s="254"/>
      <c r="BF94" s="254"/>
      <c r="BG94" s="254"/>
      <c r="BH94" s="254"/>
      <c r="BI94" s="254"/>
      <c r="BJ94" s="254"/>
      <c r="BK94" s="254"/>
      <c r="BL94" s="254"/>
      <c r="BM94" s="254"/>
      <c r="BN94" s="254"/>
      <c r="BO94" s="254"/>
      <c r="BP94" s="254"/>
      <c r="BQ94" s="254"/>
      <c r="BR94" s="254"/>
      <c r="BS94" s="254"/>
      <c r="BT94" s="254"/>
      <c r="BU94" s="254"/>
      <c r="BV94" s="254"/>
      <c r="BW94" s="254"/>
      <c r="BX94" s="254"/>
      <c r="BY94" s="254"/>
      <c r="BZ94" s="254"/>
      <c r="CA94" s="254"/>
      <c r="CB94" s="254"/>
      <c r="CC94" s="254"/>
      <c r="CD94" s="254"/>
      <c r="CE94" s="254"/>
      <c r="CF94" s="254"/>
      <c r="CG94" s="254"/>
      <c r="CH94" s="254"/>
      <c r="CI94" s="254"/>
      <c r="CJ94" s="254"/>
      <c r="CK94" s="254"/>
      <c r="CL94" s="254"/>
      <c r="CM94" s="254"/>
      <c r="CN94" s="254"/>
      <c r="CO94" s="254"/>
      <c r="CP94" s="254"/>
      <c r="CQ94" s="254"/>
      <c r="CR94" s="254"/>
      <c r="CS94" s="254"/>
      <c r="CT94" s="254"/>
      <c r="CU94" s="254"/>
      <c r="CV94" s="254"/>
      <c r="CW94" s="254"/>
      <c r="CX94" s="254"/>
      <c r="CY94" s="254"/>
      <c r="CZ94" s="254"/>
      <c r="DA94" s="254"/>
      <c r="DB94" s="254"/>
      <c r="DC94" s="254"/>
      <c r="DD94" s="254"/>
      <c r="DE94" s="254"/>
      <c r="DF94" s="254"/>
      <c r="DG94" s="254"/>
      <c r="DH94" s="254"/>
      <c r="DI94" s="254"/>
      <c r="DJ94" s="254"/>
      <c r="DK94" s="254"/>
      <c r="DL94" s="254"/>
      <c r="DM94" s="254"/>
      <c r="DN94" s="254"/>
      <c r="DO94" s="254"/>
      <c r="DP94" s="254"/>
      <c r="DQ94" s="254"/>
      <c r="DR94" s="254"/>
      <c r="DS94" s="254"/>
      <c r="DT94" s="254"/>
      <c r="DU94" s="254"/>
      <c r="DV94" s="254"/>
      <c r="DW94" s="254"/>
      <c r="DX94" s="254"/>
      <c r="DY94" s="254"/>
      <c r="DZ94" s="254"/>
      <c r="EA94" s="254"/>
      <c r="EB94" s="254"/>
      <c r="EC94" s="254"/>
      <c r="ED94" s="254"/>
      <c r="EE94" s="254"/>
      <c r="EF94" s="254"/>
      <c r="EG94" s="254"/>
      <c r="EH94" s="254"/>
      <c r="EI94" s="254"/>
      <c r="EJ94" s="254"/>
      <c r="EK94" s="254"/>
      <c r="EL94" s="254"/>
      <c r="EM94" s="254"/>
      <c r="EN94" s="254"/>
      <c r="EO94" s="254"/>
      <c r="EP94" s="254"/>
      <c r="EQ94" s="254"/>
      <c r="ER94" s="254"/>
      <c r="ES94" s="254"/>
      <c r="ET94" s="254"/>
      <c r="EU94" s="254"/>
      <c r="EV94" s="254"/>
      <c r="EW94" s="254"/>
      <c r="EX94" s="254"/>
      <c r="EY94" s="254"/>
      <c r="EZ94" s="254"/>
      <c r="FA94" s="254"/>
      <c r="FB94" s="254"/>
      <c r="FC94" s="254"/>
      <c r="FD94" s="254"/>
      <c r="FE94" s="254"/>
      <c r="FF94" s="254"/>
    </row>
    <row r="95" spans="1:162" s="267" customFormat="1" ht="15.75">
      <c r="A95" s="272"/>
      <c r="B95" s="273"/>
      <c r="C95" s="273"/>
      <c r="D95" s="320"/>
      <c r="E95" s="321"/>
      <c r="F95" s="321"/>
      <c r="G95" s="321"/>
      <c r="H95" s="321"/>
      <c r="I95" s="321"/>
      <c r="J95" s="321"/>
      <c r="K95" s="321"/>
      <c r="L95" s="321"/>
      <c r="M95" s="322"/>
      <c r="N95" s="274"/>
      <c r="O95" s="274"/>
      <c r="P95" s="266"/>
      <c r="Q95" s="254"/>
      <c r="R95" s="254"/>
      <c r="S95" s="254"/>
      <c r="T95" s="254"/>
      <c r="U95" s="254"/>
      <c r="V95" s="254"/>
      <c r="W95" s="254"/>
      <c r="X95" s="254"/>
      <c r="Y95" s="254"/>
      <c r="Z95" s="254"/>
      <c r="AA95" s="254"/>
      <c r="AB95" s="254"/>
      <c r="AC95" s="254"/>
      <c r="AD95" s="254"/>
      <c r="AE95" s="254"/>
      <c r="AF95" s="254"/>
      <c r="AG95" s="254"/>
      <c r="AH95" s="254"/>
      <c r="AI95" s="254"/>
      <c r="AJ95" s="254"/>
      <c r="AK95" s="254"/>
      <c r="AL95" s="254"/>
      <c r="AM95" s="254"/>
      <c r="AN95" s="254"/>
      <c r="AO95" s="254"/>
      <c r="AP95" s="254"/>
      <c r="AQ95" s="254"/>
      <c r="AR95" s="254"/>
      <c r="AS95" s="254"/>
      <c r="AT95" s="254"/>
      <c r="AU95" s="254"/>
      <c r="AV95" s="254"/>
      <c r="AW95" s="254"/>
      <c r="AX95" s="254"/>
      <c r="AY95" s="254"/>
      <c r="AZ95" s="254"/>
      <c r="BA95" s="254"/>
      <c r="BB95" s="254"/>
      <c r="BC95" s="254"/>
      <c r="BD95" s="254"/>
      <c r="BE95" s="254"/>
      <c r="BF95" s="254"/>
      <c r="BG95" s="254"/>
      <c r="BH95" s="254"/>
      <c r="BI95" s="254"/>
      <c r="BJ95" s="254"/>
      <c r="BK95" s="254"/>
      <c r="BL95" s="254"/>
      <c r="BM95" s="254"/>
      <c r="BN95" s="254"/>
      <c r="BO95" s="254"/>
      <c r="BP95" s="254"/>
      <c r="BQ95" s="254"/>
      <c r="BR95" s="254"/>
      <c r="BS95" s="254"/>
      <c r="BT95" s="254"/>
      <c r="BU95" s="254"/>
      <c r="BV95" s="254"/>
      <c r="BW95" s="254"/>
      <c r="BX95" s="254"/>
      <c r="BY95" s="254"/>
      <c r="BZ95" s="254"/>
      <c r="CA95" s="254"/>
      <c r="CB95" s="254"/>
      <c r="CC95" s="254"/>
      <c r="CD95" s="254"/>
      <c r="CE95" s="254"/>
      <c r="CF95" s="254"/>
      <c r="CG95" s="254"/>
      <c r="CH95" s="254"/>
      <c r="CI95" s="254"/>
      <c r="CJ95" s="254"/>
      <c r="CK95" s="254"/>
      <c r="CL95" s="254"/>
      <c r="CM95" s="254"/>
      <c r="CN95" s="254"/>
      <c r="CO95" s="254"/>
      <c r="CP95" s="254"/>
      <c r="CQ95" s="254"/>
      <c r="CR95" s="254"/>
      <c r="CS95" s="254"/>
      <c r="CT95" s="254"/>
      <c r="CU95" s="254"/>
      <c r="CV95" s="254"/>
      <c r="CW95" s="254"/>
      <c r="CX95" s="254"/>
      <c r="CY95" s="254"/>
      <c r="CZ95" s="254"/>
      <c r="DA95" s="254"/>
      <c r="DB95" s="254"/>
      <c r="DC95" s="254"/>
      <c r="DD95" s="254"/>
      <c r="DE95" s="254"/>
      <c r="DF95" s="254"/>
      <c r="DG95" s="254"/>
      <c r="DH95" s="254"/>
      <c r="DI95" s="254"/>
      <c r="DJ95" s="254"/>
      <c r="DK95" s="254"/>
      <c r="DL95" s="254"/>
      <c r="DM95" s="254"/>
      <c r="DN95" s="254"/>
      <c r="DO95" s="254"/>
      <c r="DP95" s="254"/>
      <c r="DQ95" s="254"/>
      <c r="DR95" s="254"/>
      <c r="DS95" s="254"/>
      <c r="DT95" s="254"/>
      <c r="DU95" s="254"/>
      <c r="DV95" s="254"/>
      <c r="DW95" s="254"/>
      <c r="DX95" s="254"/>
      <c r="DY95" s="254"/>
      <c r="DZ95" s="254"/>
      <c r="EA95" s="254"/>
      <c r="EB95" s="254"/>
      <c r="EC95" s="254"/>
      <c r="ED95" s="254"/>
      <c r="EE95" s="254"/>
      <c r="EF95" s="254"/>
      <c r="EG95" s="254"/>
      <c r="EH95" s="254"/>
      <c r="EI95" s="254"/>
      <c r="EJ95" s="254"/>
      <c r="EK95" s="254"/>
      <c r="EL95" s="254"/>
      <c r="EM95" s="254"/>
      <c r="EN95" s="254"/>
      <c r="EO95" s="254"/>
      <c r="EP95" s="254"/>
      <c r="EQ95" s="254"/>
      <c r="ER95" s="254"/>
      <c r="ES95" s="254"/>
      <c r="ET95" s="254"/>
      <c r="EU95" s="254"/>
      <c r="EV95" s="254"/>
      <c r="EW95" s="254"/>
      <c r="EX95" s="254"/>
      <c r="EY95" s="254"/>
      <c r="EZ95" s="254"/>
      <c r="FA95" s="254"/>
      <c r="FB95" s="254"/>
      <c r="FC95" s="254"/>
      <c r="FD95" s="254"/>
      <c r="FE95" s="254"/>
      <c r="FF95" s="254"/>
    </row>
    <row r="96" spans="1:162" s="264" customFormat="1" ht="15.75">
      <c r="A96" s="253"/>
      <c r="B96" s="253"/>
      <c r="C96" s="253"/>
      <c r="D96" s="253"/>
      <c r="E96" s="115"/>
      <c r="F96" s="275"/>
      <c r="G96" s="275"/>
      <c r="H96" s="275"/>
      <c r="I96" s="115"/>
      <c r="J96" s="115"/>
      <c r="K96" s="276"/>
      <c r="L96" s="115"/>
      <c r="M96" s="115"/>
      <c r="N96" s="115"/>
      <c r="O96" s="115"/>
      <c r="P96" s="270"/>
      <c r="Q96" s="254"/>
      <c r="R96" s="254"/>
      <c r="S96" s="254"/>
      <c r="T96" s="254"/>
      <c r="U96" s="254"/>
      <c r="V96" s="254"/>
      <c r="W96" s="254"/>
      <c r="X96" s="254"/>
      <c r="Y96" s="254"/>
      <c r="Z96" s="254"/>
      <c r="AA96" s="254"/>
      <c r="AB96" s="254"/>
      <c r="AC96" s="254"/>
      <c r="AD96" s="254"/>
      <c r="AE96" s="254"/>
      <c r="AF96" s="254"/>
      <c r="AG96" s="254"/>
      <c r="AH96" s="254"/>
      <c r="AI96" s="254"/>
      <c r="AJ96" s="254"/>
      <c r="AK96" s="254"/>
      <c r="AL96" s="254"/>
      <c r="AM96" s="254"/>
      <c r="AN96" s="254"/>
      <c r="AO96" s="254"/>
      <c r="AP96" s="254"/>
      <c r="AQ96" s="254"/>
      <c r="AR96" s="254"/>
      <c r="AS96" s="254"/>
      <c r="AT96" s="254"/>
      <c r="AU96" s="254"/>
      <c r="AV96" s="254"/>
      <c r="AW96" s="254"/>
      <c r="AX96" s="254"/>
      <c r="AY96" s="254"/>
      <c r="AZ96" s="254"/>
      <c r="BA96" s="254"/>
      <c r="BB96" s="254"/>
      <c r="BC96" s="254"/>
      <c r="BD96" s="254"/>
      <c r="BE96" s="254"/>
      <c r="BF96" s="254"/>
      <c r="BG96" s="254"/>
      <c r="BH96" s="254"/>
      <c r="BI96" s="254"/>
      <c r="BJ96" s="254"/>
      <c r="BK96" s="254"/>
      <c r="BL96" s="254"/>
      <c r="BM96" s="254"/>
      <c r="BN96" s="254"/>
      <c r="BO96" s="254"/>
      <c r="BP96" s="254"/>
      <c r="BQ96" s="254"/>
      <c r="BR96" s="254"/>
      <c r="BS96" s="254"/>
      <c r="BT96" s="254"/>
      <c r="BU96" s="254"/>
      <c r="BV96" s="254"/>
      <c r="BW96" s="254"/>
      <c r="BX96" s="254"/>
      <c r="BY96" s="254"/>
      <c r="BZ96" s="254"/>
      <c r="CA96" s="254"/>
      <c r="CB96" s="254"/>
      <c r="CC96" s="254"/>
      <c r="CD96" s="254"/>
      <c r="CE96" s="254"/>
      <c r="CF96" s="254"/>
      <c r="CG96" s="254"/>
      <c r="CH96" s="254"/>
      <c r="CI96" s="254"/>
      <c r="CJ96" s="254"/>
      <c r="CK96" s="254"/>
      <c r="CL96" s="254"/>
      <c r="CM96" s="254"/>
      <c r="CN96" s="254"/>
      <c r="CO96" s="254"/>
      <c r="CP96" s="254"/>
      <c r="CQ96" s="254"/>
      <c r="CR96" s="254"/>
      <c r="CS96" s="254"/>
      <c r="CT96" s="254"/>
      <c r="CU96" s="254"/>
      <c r="CV96" s="254"/>
      <c r="CW96" s="254"/>
      <c r="CX96" s="254"/>
      <c r="CY96" s="254"/>
      <c r="CZ96" s="254"/>
      <c r="DA96" s="254"/>
      <c r="DB96" s="254"/>
      <c r="DC96" s="254"/>
      <c r="DD96" s="254"/>
      <c r="DE96" s="254"/>
      <c r="DF96" s="254"/>
      <c r="DG96" s="254"/>
      <c r="DH96" s="254"/>
      <c r="DI96" s="254"/>
      <c r="DJ96" s="254"/>
      <c r="DK96" s="254"/>
      <c r="DL96" s="254"/>
      <c r="DM96" s="254"/>
      <c r="DN96" s="254"/>
      <c r="DO96" s="254"/>
      <c r="DP96" s="254"/>
      <c r="DQ96" s="254"/>
      <c r="DR96" s="254"/>
      <c r="DS96" s="254"/>
      <c r="DT96" s="254"/>
      <c r="DU96" s="254"/>
      <c r="DV96" s="254"/>
      <c r="DW96" s="254"/>
      <c r="DX96" s="254"/>
      <c r="DY96" s="254"/>
      <c r="DZ96" s="254"/>
      <c r="EA96" s="254"/>
      <c r="EB96" s="254"/>
      <c r="EC96" s="254"/>
      <c r="ED96" s="254"/>
      <c r="EE96" s="254"/>
      <c r="EF96" s="254"/>
      <c r="EG96" s="254"/>
      <c r="EH96" s="254"/>
      <c r="EI96" s="254"/>
      <c r="EJ96" s="254"/>
      <c r="EK96" s="254"/>
      <c r="EL96" s="254"/>
      <c r="EM96" s="254"/>
      <c r="EN96" s="254"/>
      <c r="EO96" s="254"/>
      <c r="EP96" s="254"/>
      <c r="EQ96" s="254"/>
      <c r="ER96" s="254"/>
      <c r="ES96" s="254"/>
      <c r="ET96" s="254"/>
      <c r="EU96" s="254"/>
      <c r="EV96" s="254"/>
      <c r="EW96" s="254"/>
      <c r="EX96" s="254"/>
      <c r="EY96" s="254"/>
      <c r="EZ96" s="254"/>
      <c r="FA96" s="254"/>
      <c r="FB96" s="254"/>
      <c r="FC96" s="254"/>
      <c r="FD96" s="254"/>
      <c r="FE96" s="254"/>
      <c r="FF96" s="254"/>
    </row>
    <row r="97" spans="1:162" s="264" customFormat="1" ht="18" customHeight="1">
      <c r="A97" s="253"/>
      <c r="B97" s="253"/>
      <c r="C97" s="253"/>
      <c r="D97" s="253"/>
      <c r="E97" s="115"/>
      <c r="F97" s="275"/>
      <c r="G97" s="275"/>
      <c r="H97" s="275"/>
      <c r="I97" s="115"/>
      <c r="J97" s="115"/>
      <c r="K97" s="276"/>
      <c r="L97" s="115"/>
      <c r="M97" s="115"/>
      <c r="N97" s="115"/>
      <c r="O97" s="115"/>
      <c r="P97" s="270"/>
      <c r="Q97" s="254"/>
      <c r="R97" s="254"/>
      <c r="S97" s="254"/>
      <c r="T97" s="254"/>
      <c r="U97" s="254"/>
      <c r="V97" s="254"/>
      <c r="W97" s="254"/>
      <c r="X97" s="254"/>
      <c r="Y97" s="254"/>
      <c r="Z97" s="254"/>
      <c r="AA97" s="254"/>
      <c r="AB97" s="254"/>
      <c r="AC97" s="254"/>
      <c r="AD97" s="254"/>
      <c r="AE97" s="254"/>
      <c r="AF97" s="254"/>
      <c r="AG97" s="254"/>
      <c r="AH97" s="254"/>
      <c r="AI97" s="254"/>
      <c r="AJ97" s="254"/>
      <c r="AK97" s="254"/>
      <c r="AL97" s="254"/>
      <c r="AM97" s="254"/>
      <c r="AN97" s="254"/>
      <c r="AO97" s="254"/>
      <c r="AP97" s="254"/>
      <c r="AQ97" s="254"/>
      <c r="AR97" s="254"/>
      <c r="AS97" s="254"/>
      <c r="AT97" s="254"/>
      <c r="AU97" s="254"/>
      <c r="AV97" s="254"/>
      <c r="AW97" s="254"/>
      <c r="AX97" s="254"/>
      <c r="AY97" s="254"/>
      <c r="AZ97" s="254"/>
      <c r="BA97" s="254"/>
      <c r="BB97" s="254"/>
      <c r="BC97" s="254"/>
      <c r="BD97" s="254"/>
      <c r="BE97" s="254"/>
      <c r="BF97" s="254"/>
      <c r="BG97" s="254"/>
      <c r="BH97" s="254"/>
      <c r="BI97" s="254"/>
      <c r="BJ97" s="254"/>
      <c r="BK97" s="254"/>
      <c r="BL97" s="254"/>
      <c r="BM97" s="254"/>
      <c r="BN97" s="254"/>
      <c r="BO97" s="254"/>
      <c r="BP97" s="254"/>
      <c r="BQ97" s="254"/>
      <c r="BR97" s="254"/>
      <c r="BS97" s="254"/>
      <c r="BT97" s="254"/>
      <c r="BU97" s="254"/>
      <c r="BV97" s="254"/>
      <c r="BW97" s="254"/>
      <c r="BX97" s="254"/>
      <c r="BY97" s="254"/>
      <c r="BZ97" s="254"/>
      <c r="CA97" s="254"/>
      <c r="CB97" s="254"/>
      <c r="CC97" s="254"/>
      <c r="CD97" s="254"/>
      <c r="CE97" s="254"/>
      <c r="CF97" s="254"/>
      <c r="CG97" s="254"/>
      <c r="CH97" s="254"/>
      <c r="CI97" s="254"/>
      <c r="CJ97" s="254"/>
      <c r="CK97" s="254"/>
      <c r="CL97" s="254"/>
      <c r="CM97" s="254"/>
      <c r="CN97" s="254"/>
      <c r="CO97" s="254"/>
      <c r="CP97" s="254"/>
      <c r="CQ97" s="254"/>
      <c r="CR97" s="254"/>
      <c r="CS97" s="254"/>
      <c r="CT97" s="254"/>
      <c r="CU97" s="254"/>
      <c r="CV97" s="254"/>
      <c r="CW97" s="254"/>
      <c r="CX97" s="254"/>
      <c r="CY97" s="254"/>
      <c r="CZ97" s="254"/>
      <c r="DA97" s="254"/>
      <c r="DB97" s="254"/>
      <c r="DC97" s="254"/>
      <c r="DD97" s="254"/>
      <c r="DE97" s="254"/>
      <c r="DF97" s="254"/>
      <c r="DG97" s="254"/>
      <c r="DH97" s="254"/>
      <c r="DI97" s="254"/>
      <c r="DJ97" s="254"/>
      <c r="DK97" s="254"/>
      <c r="DL97" s="254"/>
      <c r="DM97" s="254"/>
      <c r="DN97" s="254"/>
      <c r="DO97" s="254"/>
      <c r="DP97" s="254"/>
      <c r="DQ97" s="254"/>
      <c r="DR97" s="254"/>
      <c r="DS97" s="254"/>
      <c r="DT97" s="254"/>
      <c r="DU97" s="254"/>
      <c r="DV97" s="254"/>
      <c r="DW97" s="254"/>
      <c r="DX97" s="254"/>
      <c r="DY97" s="254"/>
      <c r="DZ97" s="254"/>
      <c r="EA97" s="254"/>
      <c r="EB97" s="254"/>
      <c r="EC97" s="254"/>
      <c r="ED97" s="254"/>
      <c r="EE97" s="254"/>
      <c r="EF97" s="254"/>
      <c r="EG97" s="254"/>
      <c r="EH97" s="254"/>
      <c r="EI97" s="254"/>
      <c r="EJ97" s="254"/>
      <c r="EK97" s="254"/>
      <c r="EL97" s="254"/>
      <c r="EM97" s="254"/>
      <c r="EN97" s="254"/>
      <c r="EO97" s="254"/>
      <c r="EP97" s="254"/>
      <c r="EQ97" s="254"/>
      <c r="ER97" s="254"/>
      <c r="ES97" s="254"/>
      <c r="ET97" s="254"/>
      <c r="EU97" s="254"/>
      <c r="EV97" s="254"/>
      <c r="EW97" s="254"/>
      <c r="EX97" s="254"/>
      <c r="EY97" s="254"/>
      <c r="EZ97" s="254"/>
      <c r="FA97" s="254"/>
      <c r="FB97" s="254"/>
      <c r="FC97" s="254"/>
      <c r="FD97" s="254"/>
      <c r="FE97" s="254"/>
      <c r="FF97" s="254"/>
    </row>
    <row r="98" spans="1:21" ht="29.25" customHeight="1">
      <c r="A98" s="253"/>
      <c r="B98" s="253"/>
      <c r="C98" s="253"/>
      <c r="D98" s="253"/>
      <c r="E98" s="115"/>
      <c r="F98" s="275"/>
      <c r="G98" s="275"/>
      <c r="H98" s="275"/>
      <c r="I98" s="115"/>
      <c r="J98" s="115"/>
      <c r="K98" s="276"/>
      <c r="L98" s="115"/>
      <c r="M98" s="115"/>
      <c r="N98" s="115"/>
      <c r="O98" s="115"/>
      <c r="Q98" s="254"/>
      <c r="R98" s="254"/>
      <c r="T98" s="254"/>
      <c r="U98" s="254"/>
    </row>
    <row r="99" spans="1:21" ht="39.75" customHeight="1">
      <c r="A99" s="253"/>
      <c r="B99" s="253"/>
      <c r="C99" s="253"/>
      <c r="D99" s="253"/>
      <c r="E99" s="115"/>
      <c r="F99" s="275"/>
      <c r="G99" s="275"/>
      <c r="H99" s="275"/>
      <c r="I99" s="115"/>
      <c r="J99" s="115"/>
      <c r="K99" s="276"/>
      <c r="L99" s="115"/>
      <c r="M99" s="115"/>
      <c r="N99" s="115"/>
      <c r="O99" s="115"/>
      <c r="Q99" s="254"/>
      <c r="R99" s="254"/>
      <c r="T99" s="254"/>
      <c r="U99" s="254"/>
    </row>
    <row r="100" spans="1:21" ht="24" customHeight="1">
      <c r="A100" s="253"/>
      <c r="B100" s="253"/>
      <c r="C100" s="253"/>
      <c r="D100" s="253"/>
      <c r="E100" s="115"/>
      <c r="F100" s="275"/>
      <c r="G100" s="275"/>
      <c r="H100" s="275"/>
      <c r="I100" s="115"/>
      <c r="J100" s="115"/>
      <c r="K100" s="276"/>
      <c r="L100" s="115"/>
      <c r="M100" s="115"/>
      <c r="N100" s="115"/>
      <c r="O100" s="115"/>
      <c r="Q100" s="254"/>
      <c r="R100" s="254"/>
      <c r="T100" s="254"/>
      <c r="U100" s="254"/>
    </row>
    <row r="101" spans="1:21" ht="15">
      <c r="A101" s="253"/>
      <c r="B101" s="253"/>
      <c r="C101" s="253"/>
      <c r="D101" s="253"/>
      <c r="E101" s="115"/>
      <c r="F101" s="275"/>
      <c r="G101" s="275"/>
      <c r="H101" s="275"/>
      <c r="I101" s="115"/>
      <c r="J101" s="115"/>
      <c r="K101" s="276"/>
      <c r="L101" s="115"/>
      <c r="M101" s="115"/>
      <c r="N101" s="115"/>
      <c r="O101" s="115"/>
      <c r="Q101" s="254"/>
      <c r="R101" s="254"/>
      <c r="T101" s="254"/>
      <c r="U101" s="254"/>
    </row>
    <row r="102" spans="1:21" ht="15">
      <c r="A102" s="253"/>
      <c r="B102" s="253"/>
      <c r="C102" s="253"/>
      <c r="D102" s="253"/>
      <c r="E102" s="115"/>
      <c r="F102" s="275"/>
      <c r="G102" s="275"/>
      <c r="H102" s="275"/>
      <c r="I102" s="115"/>
      <c r="J102" s="115"/>
      <c r="K102" s="276"/>
      <c r="L102" s="115"/>
      <c r="M102" s="115"/>
      <c r="N102" s="115"/>
      <c r="O102" s="115"/>
      <c r="P102" s="254"/>
      <c r="Q102" s="254"/>
      <c r="R102" s="254"/>
      <c r="T102" s="254"/>
      <c r="U102" s="254"/>
    </row>
    <row r="103" spans="1:21" ht="15">
      <c r="A103" s="253"/>
      <c r="B103" s="253"/>
      <c r="C103" s="253"/>
      <c r="D103" s="253"/>
      <c r="E103" s="115"/>
      <c r="F103" s="275"/>
      <c r="G103" s="275"/>
      <c r="H103" s="275"/>
      <c r="I103" s="115"/>
      <c r="J103" s="115"/>
      <c r="K103" s="276"/>
      <c r="L103" s="115"/>
      <c r="M103" s="115"/>
      <c r="N103" s="115"/>
      <c r="O103" s="115"/>
      <c r="P103" s="254"/>
      <c r="Q103" s="254"/>
      <c r="R103" s="254"/>
      <c r="T103" s="254"/>
      <c r="U103" s="254"/>
    </row>
    <row r="104" spans="1:21" ht="15">
      <c r="A104" s="253"/>
      <c r="B104" s="253"/>
      <c r="C104" s="253"/>
      <c r="D104" s="253"/>
      <c r="E104" s="115"/>
      <c r="F104" s="275"/>
      <c r="G104" s="275"/>
      <c r="H104" s="275"/>
      <c r="I104" s="115"/>
      <c r="J104" s="115"/>
      <c r="K104" s="276"/>
      <c r="L104" s="115"/>
      <c r="M104" s="115"/>
      <c r="N104" s="115"/>
      <c r="O104" s="115"/>
      <c r="P104" s="254"/>
      <c r="Q104" s="254"/>
      <c r="R104" s="254"/>
      <c r="T104" s="254"/>
      <c r="U104" s="254"/>
    </row>
    <row r="105" spans="1:21" ht="15">
      <c r="A105" s="253"/>
      <c r="B105" s="253"/>
      <c r="C105" s="253"/>
      <c r="D105" s="253"/>
      <c r="E105" s="115"/>
      <c r="F105" s="275"/>
      <c r="G105" s="275"/>
      <c r="H105" s="275"/>
      <c r="I105" s="115"/>
      <c r="J105" s="115"/>
      <c r="K105" s="276"/>
      <c r="L105" s="115"/>
      <c r="M105" s="115"/>
      <c r="N105" s="115"/>
      <c r="O105" s="115"/>
      <c r="P105" s="254"/>
      <c r="Q105" s="254"/>
      <c r="R105" s="254"/>
      <c r="T105" s="254"/>
      <c r="U105" s="254"/>
    </row>
    <row r="106" spans="1:21" ht="15">
      <c r="A106" s="253"/>
      <c r="B106" s="253"/>
      <c r="C106" s="253"/>
      <c r="D106" s="253"/>
      <c r="E106" s="115"/>
      <c r="F106" s="275"/>
      <c r="G106" s="275"/>
      <c r="H106" s="275"/>
      <c r="I106" s="115"/>
      <c r="J106" s="115"/>
      <c r="K106" s="276"/>
      <c r="L106" s="115"/>
      <c r="M106" s="115"/>
      <c r="N106" s="115"/>
      <c r="O106" s="115"/>
      <c r="P106" s="254"/>
      <c r="Q106" s="254"/>
      <c r="R106" s="254"/>
      <c r="T106" s="254"/>
      <c r="U106" s="254"/>
    </row>
    <row r="107" spans="1:21" ht="15">
      <c r="A107" s="253"/>
      <c r="B107" s="253"/>
      <c r="C107" s="253"/>
      <c r="D107" s="253"/>
      <c r="E107" s="115"/>
      <c r="F107" s="275"/>
      <c r="G107" s="275"/>
      <c r="H107" s="275"/>
      <c r="I107" s="115"/>
      <c r="J107" s="115"/>
      <c r="K107" s="276"/>
      <c r="L107" s="115"/>
      <c r="M107" s="115"/>
      <c r="N107" s="115"/>
      <c r="O107" s="115"/>
      <c r="P107" s="254"/>
      <c r="Q107" s="254"/>
      <c r="R107" s="254"/>
      <c r="T107" s="254"/>
      <c r="U107" s="254"/>
    </row>
    <row r="108" spans="1:21" ht="15">
      <c r="A108" s="253"/>
      <c r="B108" s="253"/>
      <c r="C108" s="253"/>
      <c r="D108" s="253"/>
      <c r="E108" s="115"/>
      <c r="F108" s="275"/>
      <c r="G108" s="275"/>
      <c r="H108" s="275"/>
      <c r="I108" s="115"/>
      <c r="J108" s="115"/>
      <c r="K108" s="276"/>
      <c r="L108" s="115"/>
      <c r="M108" s="115"/>
      <c r="N108" s="115"/>
      <c r="O108" s="115"/>
      <c r="P108" s="254"/>
      <c r="Q108" s="254"/>
      <c r="R108" s="254"/>
      <c r="T108" s="254"/>
      <c r="U108" s="254"/>
    </row>
    <row r="109" spans="1:21" ht="15">
      <c r="A109" s="253"/>
      <c r="B109" s="253"/>
      <c r="C109" s="253"/>
      <c r="D109" s="253"/>
      <c r="E109" s="115"/>
      <c r="F109" s="275"/>
      <c r="G109" s="275"/>
      <c r="H109" s="275"/>
      <c r="I109" s="115"/>
      <c r="J109" s="115"/>
      <c r="K109" s="276"/>
      <c r="L109" s="115"/>
      <c r="M109" s="115"/>
      <c r="N109" s="115"/>
      <c r="O109" s="115"/>
      <c r="P109" s="254"/>
      <c r="Q109" s="254"/>
      <c r="R109" s="254"/>
      <c r="T109" s="254"/>
      <c r="U109" s="254"/>
    </row>
    <row r="110" spans="1:21" ht="15">
      <c r="A110" s="253"/>
      <c r="B110" s="253"/>
      <c r="C110" s="253"/>
      <c r="D110" s="253"/>
      <c r="E110" s="115"/>
      <c r="F110" s="275"/>
      <c r="G110" s="275"/>
      <c r="H110" s="275"/>
      <c r="I110" s="115"/>
      <c r="J110" s="115"/>
      <c r="K110" s="276"/>
      <c r="L110" s="115"/>
      <c r="M110" s="115"/>
      <c r="N110" s="115"/>
      <c r="O110" s="115"/>
      <c r="P110" s="254"/>
      <c r="Q110" s="254"/>
      <c r="R110" s="254"/>
      <c r="T110" s="254"/>
      <c r="U110" s="254"/>
    </row>
    <row r="111" spans="1:21" ht="15">
      <c r="A111" s="253"/>
      <c r="B111" s="253"/>
      <c r="C111" s="253"/>
      <c r="D111" s="253"/>
      <c r="E111" s="115"/>
      <c r="F111" s="275"/>
      <c r="G111" s="275"/>
      <c r="H111" s="275"/>
      <c r="I111" s="115"/>
      <c r="J111" s="115"/>
      <c r="K111" s="276"/>
      <c r="L111" s="115"/>
      <c r="M111" s="115"/>
      <c r="N111" s="115"/>
      <c r="O111" s="115"/>
      <c r="P111" s="254"/>
      <c r="Q111" s="254"/>
      <c r="R111" s="254"/>
      <c r="T111" s="254"/>
      <c r="U111" s="254"/>
    </row>
    <row r="112" spans="1:21" ht="15">
      <c r="A112" s="253"/>
      <c r="B112" s="253"/>
      <c r="C112" s="253"/>
      <c r="D112" s="253"/>
      <c r="E112" s="115"/>
      <c r="F112" s="275"/>
      <c r="G112" s="275"/>
      <c r="H112" s="275"/>
      <c r="I112" s="115"/>
      <c r="J112" s="115"/>
      <c r="K112" s="276"/>
      <c r="L112" s="115"/>
      <c r="M112" s="115"/>
      <c r="N112" s="115"/>
      <c r="O112" s="115"/>
      <c r="P112" s="254"/>
      <c r="Q112" s="254"/>
      <c r="R112" s="254"/>
      <c r="T112" s="254"/>
      <c r="U112" s="254"/>
    </row>
    <row r="113" spans="1:21" ht="15">
      <c r="A113" s="253"/>
      <c r="B113" s="253"/>
      <c r="C113" s="253"/>
      <c r="D113" s="253"/>
      <c r="E113" s="115"/>
      <c r="F113" s="275"/>
      <c r="G113" s="275"/>
      <c r="H113" s="275"/>
      <c r="I113" s="115"/>
      <c r="J113" s="115"/>
      <c r="K113" s="276"/>
      <c r="L113" s="115"/>
      <c r="M113" s="115"/>
      <c r="N113" s="115"/>
      <c r="O113" s="115"/>
      <c r="P113" s="254"/>
      <c r="Q113" s="254"/>
      <c r="R113" s="254"/>
      <c r="T113" s="254"/>
      <c r="U113" s="254"/>
    </row>
    <row r="114" spans="1:21" ht="15">
      <c r="A114" s="253"/>
      <c r="B114" s="253"/>
      <c r="C114" s="253"/>
      <c r="D114" s="253"/>
      <c r="E114" s="115"/>
      <c r="F114" s="275"/>
      <c r="G114" s="275"/>
      <c r="H114" s="275"/>
      <c r="I114" s="115"/>
      <c r="J114" s="115"/>
      <c r="K114" s="276"/>
      <c r="L114" s="115"/>
      <c r="M114" s="115"/>
      <c r="N114" s="115"/>
      <c r="O114" s="115"/>
      <c r="P114" s="254"/>
      <c r="Q114" s="254"/>
      <c r="R114" s="254"/>
      <c r="T114" s="254"/>
      <c r="U114" s="254"/>
    </row>
    <row r="115" spans="1:21" ht="15">
      <c r="A115" s="253"/>
      <c r="B115" s="253"/>
      <c r="C115" s="253"/>
      <c r="D115" s="253"/>
      <c r="E115" s="115"/>
      <c r="F115" s="275"/>
      <c r="G115" s="275"/>
      <c r="H115" s="275"/>
      <c r="I115" s="115"/>
      <c r="J115" s="115"/>
      <c r="K115" s="276"/>
      <c r="L115" s="115"/>
      <c r="M115" s="115"/>
      <c r="N115" s="115"/>
      <c r="O115" s="115"/>
      <c r="P115" s="254"/>
      <c r="Q115" s="254"/>
      <c r="R115" s="254"/>
      <c r="T115" s="254"/>
      <c r="U115" s="254"/>
    </row>
    <row r="116" spans="1:21" ht="15">
      <c r="A116" s="253"/>
      <c r="B116" s="253"/>
      <c r="C116" s="253"/>
      <c r="D116" s="253"/>
      <c r="E116" s="115"/>
      <c r="F116" s="275"/>
      <c r="G116" s="275"/>
      <c r="H116" s="275"/>
      <c r="I116" s="115"/>
      <c r="J116" s="115"/>
      <c r="K116" s="276"/>
      <c r="L116" s="115"/>
      <c r="M116" s="115"/>
      <c r="N116" s="115"/>
      <c r="O116" s="115"/>
      <c r="P116" s="254"/>
      <c r="Q116" s="254"/>
      <c r="R116" s="254"/>
      <c r="T116" s="254"/>
      <c r="U116" s="254"/>
    </row>
    <row r="117" spans="1:21" ht="15">
      <c r="A117" s="253"/>
      <c r="B117" s="253"/>
      <c r="C117" s="253"/>
      <c r="D117" s="253"/>
      <c r="E117" s="115"/>
      <c r="F117" s="275"/>
      <c r="G117" s="275"/>
      <c r="H117" s="275"/>
      <c r="I117" s="115"/>
      <c r="J117" s="115"/>
      <c r="K117" s="276"/>
      <c r="L117" s="115"/>
      <c r="M117" s="115"/>
      <c r="N117" s="115"/>
      <c r="O117" s="115"/>
      <c r="P117" s="254"/>
      <c r="Q117" s="254"/>
      <c r="R117" s="254"/>
      <c r="T117" s="254"/>
      <c r="U117" s="254"/>
    </row>
    <row r="118" spans="1:21" ht="15">
      <c r="A118" s="253"/>
      <c r="B118" s="253"/>
      <c r="C118" s="253"/>
      <c r="D118" s="253"/>
      <c r="E118" s="115"/>
      <c r="F118" s="275"/>
      <c r="G118" s="275"/>
      <c r="H118" s="275"/>
      <c r="I118" s="115"/>
      <c r="J118" s="115"/>
      <c r="K118" s="276"/>
      <c r="L118" s="115"/>
      <c r="M118" s="115"/>
      <c r="N118" s="115"/>
      <c r="O118" s="115"/>
      <c r="P118" s="254"/>
      <c r="Q118" s="254"/>
      <c r="R118" s="254"/>
      <c r="T118" s="254"/>
      <c r="U118" s="254"/>
    </row>
    <row r="119" spans="1:21" ht="15">
      <c r="A119" s="253"/>
      <c r="B119" s="253"/>
      <c r="C119" s="253"/>
      <c r="D119" s="253"/>
      <c r="E119" s="115"/>
      <c r="F119" s="275"/>
      <c r="G119" s="275"/>
      <c r="H119" s="275"/>
      <c r="I119" s="115"/>
      <c r="J119" s="115"/>
      <c r="K119" s="276"/>
      <c r="L119" s="115"/>
      <c r="M119" s="115"/>
      <c r="N119" s="115"/>
      <c r="O119" s="115"/>
      <c r="P119" s="254"/>
      <c r="Q119" s="254"/>
      <c r="R119" s="254"/>
      <c r="T119" s="254"/>
      <c r="U119" s="254"/>
    </row>
    <row r="120" spans="1:21" ht="15">
      <c r="A120" s="253"/>
      <c r="B120" s="253"/>
      <c r="C120" s="253"/>
      <c r="D120" s="253"/>
      <c r="E120" s="115"/>
      <c r="F120" s="275"/>
      <c r="G120" s="275"/>
      <c r="H120" s="275"/>
      <c r="I120" s="115"/>
      <c r="J120" s="115"/>
      <c r="K120" s="276"/>
      <c r="L120" s="115"/>
      <c r="M120" s="115"/>
      <c r="N120" s="115"/>
      <c r="O120" s="115"/>
      <c r="P120" s="254"/>
      <c r="Q120" s="254"/>
      <c r="R120" s="254"/>
      <c r="T120" s="254"/>
      <c r="U120" s="254"/>
    </row>
    <row r="121" spans="1:21" ht="15">
      <c r="A121" s="253"/>
      <c r="B121" s="253"/>
      <c r="C121" s="253"/>
      <c r="D121" s="253"/>
      <c r="E121" s="115"/>
      <c r="F121" s="275"/>
      <c r="G121" s="275"/>
      <c r="H121" s="275"/>
      <c r="I121" s="115"/>
      <c r="J121" s="115"/>
      <c r="K121" s="276"/>
      <c r="L121" s="115"/>
      <c r="M121" s="115"/>
      <c r="N121" s="115"/>
      <c r="O121" s="115"/>
      <c r="P121" s="254"/>
      <c r="Q121" s="254"/>
      <c r="R121" s="254"/>
      <c r="T121" s="254"/>
      <c r="U121" s="254"/>
    </row>
    <row r="122" spans="1:21" ht="15">
      <c r="A122" s="253"/>
      <c r="B122" s="253"/>
      <c r="C122" s="253"/>
      <c r="D122" s="253"/>
      <c r="E122" s="115"/>
      <c r="F122" s="275"/>
      <c r="G122" s="275"/>
      <c r="H122" s="275"/>
      <c r="I122" s="115"/>
      <c r="J122" s="115"/>
      <c r="K122" s="276"/>
      <c r="L122" s="115"/>
      <c r="M122" s="115"/>
      <c r="N122" s="115"/>
      <c r="O122" s="115"/>
      <c r="P122" s="254"/>
      <c r="Q122" s="254"/>
      <c r="R122" s="254"/>
      <c r="T122" s="254"/>
      <c r="U122" s="254"/>
    </row>
    <row r="123" spans="1:21" ht="15">
      <c r="A123" s="253"/>
      <c r="B123" s="253"/>
      <c r="C123" s="253"/>
      <c r="D123" s="253"/>
      <c r="E123" s="115"/>
      <c r="F123" s="275"/>
      <c r="G123" s="275"/>
      <c r="H123" s="275"/>
      <c r="I123" s="115"/>
      <c r="J123" s="115"/>
      <c r="K123" s="276"/>
      <c r="L123" s="115"/>
      <c r="M123" s="115"/>
      <c r="N123" s="115"/>
      <c r="O123" s="115"/>
      <c r="P123" s="254"/>
      <c r="Q123" s="254"/>
      <c r="R123" s="254"/>
      <c r="T123" s="254"/>
      <c r="U123" s="254"/>
    </row>
    <row r="124" spans="1:21" ht="15">
      <c r="A124" s="253"/>
      <c r="B124" s="253"/>
      <c r="C124" s="253"/>
      <c r="D124" s="253"/>
      <c r="E124" s="115"/>
      <c r="F124" s="275"/>
      <c r="G124" s="275"/>
      <c r="H124" s="275"/>
      <c r="I124" s="115"/>
      <c r="J124" s="115"/>
      <c r="K124" s="276"/>
      <c r="L124" s="115"/>
      <c r="M124" s="115"/>
      <c r="N124" s="115"/>
      <c r="O124" s="115"/>
      <c r="P124" s="254"/>
      <c r="Q124" s="254"/>
      <c r="R124" s="254"/>
      <c r="T124" s="254"/>
      <c r="U124" s="254"/>
    </row>
    <row r="125" spans="1:21" ht="15">
      <c r="A125" s="253"/>
      <c r="B125" s="253"/>
      <c r="C125" s="253"/>
      <c r="D125" s="253"/>
      <c r="E125" s="115"/>
      <c r="F125" s="275"/>
      <c r="G125" s="275"/>
      <c r="H125" s="275"/>
      <c r="I125" s="115"/>
      <c r="J125" s="115"/>
      <c r="K125" s="276"/>
      <c r="L125" s="115"/>
      <c r="M125" s="115"/>
      <c r="N125" s="115"/>
      <c r="O125" s="115"/>
      <c r="P125" s="254"/>
      <c r="Q125" s="254"/>
      <c r="R125" s="254"/>
      <c r="T125" s="254"/>
      <c r="U125" s="254"/>
    </row>
    <row r="126" spans="1:21" ht="15">
      <c r="A126" s="253"/>
      <c r="B126" s="253"/>
      <c r="C126" s="253"/>
      <c r="D126" s="253"/>
      <c r="E126" s="115"/>
      <c r="F126" s="275"/>
      <c r="G126" s="275"/>
      <c r="H126" s="275"/>
      <c r="I126" s="115"/>
      <c r="J126" s="115"/>
      <c r="K126" s="276"/>
      <c r="L126" s="115"/>
      <c r="M126" s="115"/>
      <c r="N126" s="115"/>
      <c r="O126" s="115"/>
      <c r="P126" s="254"/>
      <c r="Q126" s="254"/>
      <c r="R126" s="254"/>
      <c r="T126" s="254"/>
      <c r="U126" s="254"/>
    </row>
    <row r="127" spans="1:21" ht="15">
      <c r="A127" s="253"/>
      <c r="B127" s="253"/>
      <c r="C127" s="253"/>
      <c r="D127" s="253"/>
      <c r="E127" s="115"/>
      <c r="F127" s="275"/>
      <c r="G127" s="275"/>
      <c r="H127" s="275"/>
      <c r="I127" s="115"/>
      <c r="J127" s="115"/>
      <c r="K127" s="276"/>
      <c r="L127" s="115"/>
      <c r="M127" s="115"/>
      <c r="N127" s="115"/>
      <c r="O127" s="115"/>
      <c r="P127" s="254"/>
      <c r="Q127" s="254"/>
      <c r="R127" s="254"/>
      <c r="T127" s="254"/>
      <c r="U127" s="254"/>
    </row>
    <row r="128" spans="1:21" ht="15">
      <c r="A128" s="253"/>
      <c r="B128" s="253"/>
      <c r="C128" s="253"/>
      <c r="D128" s="253"/>
      <c r="E128" s="115"/>
      <c r="F128" s="275"/>
      <c r="G128" s="275"/>
      <c r="H128" s="275"/>
      <c r="I128" s="115"/>
      <c r="J128" s="115"/>
      <c r="K128" s="276"/>
      <c r="L128" s="115"/>
      <c r="M128" s="115"/>
      <c r="N128" s="115"/>
      <c r="O128" s="115"/>
      <c r="P128" s="254"/>
      <c r="Q128" s="254"/>
      <c r="R128" s="254"/>
      <c r="T128" s="254"/>
      <c r="U128" s="254"/>
    </row>
    <row r="129" spans="1:21" ht="15">
      <c r="A129" s="253"/>
      <c r="B129" s="253"/>
      <c r="C129" s="253"/>
      <c r="D129" s="253"/>
      <c r="E129" s="115"/>
      <c r="F129" s="275"/>
      <c r="G129" s="275"/>
      <c r="H129" s="275"/>
      <c r="I129" s="115"/>
      <c r="J129" s="115"/>
      <c r="K129" s="276"/>
      <c r="L129" s="115"/>
      <c r="M129" s="115"/>
      <c r="N129" s="115"/>
      <c r="O129" s="115"/>
      <c r="P129" s="254"/>
      <c r="Q129" s="254"/>
      <c r="R129" s="254"/>
      <c r="T129" s="254"/>
      <c r="U129" s="254"/>
    </row>
    <row r="130" spans="1:21" ht="15">
      <c r="A130" s="253"/>
      <c r="B130" s="253"/>
      <c r="C130" s="253"/>
      <c r="D130" s="253"/>
      <c r="E130" s="115"/>
      <c r="F130" s="275"/>
      <c r="G130" s="275"/>
      <c r="H130" s="275"/>
      <c r="I130" s="115"/>
      <c r="J130" s="115"/>
      <c r="K130" s="276"/>
      <c r="L130" s="115"/>
      <c r="M130" s="115"/>
      <c r="N130" s="115"/>
      <c r="O130" s="115"/>
      <c r="P130" s="254"/>
      <c r="Q130" s="254"/>
      <c r="R130" s="254"/>
      <c r="T130" s="254"/>
      <c r="U130" s="254"/>
    </row>
    <row r="131" spans="1:21" ht="15">
      <c r="A131" s="253"/>
      <c r="B131" s="253"/>
      <c r="C131" s="253"/>
      <c r="D131" s="253"/>
      <c r="E131" s="115"/>
      <c r="F131" s="275"/>
      <c r="G131" s="275"/>
      <c r="H131" s="275"/>
      <c r="I131" s="115"/>
      <c r="J131" s="115"/>
      <c r="K131" s="276"/>
      <c r="L131" s="115"/>
      <c r="M131" s="115"/>
      <c r="N131" s="115"/>
      <c r="O131" s="115"/>
      <c r="P131" s="254"/>
      <c r="Q131" s="254"/>
      <c r="R131" s="254"/>
      <c r="T131" s="254"/>
      <c r="U131" s="254"/>
    </row>
    <row r="132" spans="1:21" ht="15">
      <c r="A132" s="253"/>
      <c r="B132" s="253"/>
      <c r="C132" s="253"/>
      <c r="D132" s="253"/>
      <c r="E132" s="115"/>
      <c r="F132" s="275"/>
      <c r="G132" s="275"/>
      <c r="H132" s="275"/>
      <c r="I132" s="115"/>
      <c r="J132" s="115"/>
      <c r="K132" s="276"/>
      <c r="L132" s="115"/>
      <c r="M132" s="115"/>
      <c r="N132" s="115"/>
      <c r="O132" s="115"/>
      <c r="P132" s="254"/>
      <c r="Q132" s="254"/>
      <c r="R132" s="254"/>
      <c r="T132" s="254"/>
      <c r="U132" s="254"/>
    </row>
    <row r="133" spans="1:21" ht="15">
      <c r="A133" s="253"/>
      <c r="B133" s="253"/>
      <c r="C133" s="253"/>
      <c r="D133" s="253"/>
      <c r="E133" s="115"/>
      <c r="F133" s="275"/>
      <c r="G133" s="275"/>
      <c r="H133" s="275"/>
      <c r="I133" s="115"/>
      <c r="J133" s="115"/>
      <c r="K133" s="276"/>
      <c r="L133" s="115"/>
      <c r="M133" s="115"/>
      <c r="N133" s="115"/>
      <c r="O133" s="115"/>
      <c r="P133" s="254"/>
      <c r="Q133" s="254"/>
      <c r="R133" s="254"/>
      <c r="T133" s="254"/>
      <c r="U133" s="254"/>
    </row>
    <row r="134" spans="1:21" ht="15">
      <c r="A134" s="253"/>
      <c r="B134" s="253"/>
      <c r="C134" s="253"/>
      <c r="D134" s="253"/>
      <c r="E134" s="115"/>
      <c r="F134" s="275"/>
      <c r="G134" s="275"/>
      <c r="H134" s="275"/>
      <c r="I134" s="115"/>
      <c r="J134" s="115"/>
      <c r="K134" s="276"/>
      <c r="L134" s="115"/>
      <c r="M134" s="115"/>
      <c r="N134" s="115"/>
      <c r="O134" s="115"/>
      <c r="P134" s="254"/>
      <c r="Q134" s="254"/>
      <c r="R134" s="254"/>
      <c r="T134" s="254"/>
      <c r="U134" s="254"/>
    </row>
    <row r="135" spans="1:21" ht="15">
      <c r="A135" s="253"/>
      <c r="B135" s="253"/>
      <c r="C135" s="253"/>
      <c r="D135" s="253"/>
      <c r="E135" s="115"/>
      <c r="F135" s="275"/>
      <c r="G135" s="275"/>
      <c r="H135" s="275"/>
      <c r="I135" s="115"/>
      <c r="J135" s="115"/>
      <c r="K135" s="276"/>
      <c r="L135" s="115"/>
      <c r="M135" s="115"/>
      <c r="N135" s="115"/>
      <c r="O135" s="115"/>
      <c r="P135" s="254"/>
      <c r="Q135" s="254"/>
      <c r="R135" s="254"/>
      <c r="T135" s="254"/>
      <c r="U135" s="254"/>
    </row>
    <row r="136" spans="1:21" ht="15">
      <c r="A136" s="253"/>
      <c r="B136" s="253"/>
      <c r="C136" s="253"/>
      <c r="D136" s="253"/>
      <c r="E136" s="115"/>
      <c r="F136" s="275"/>
      <c r="G136" s="275"/>
      <c r="H136" s="275"/>
      <c r="I136" s="115"/>
      <c r="J136" s="115"/>
      <c r="K136" s="276"/>
      <c r="L136" s="115"/>
      <c r="M136" s="115"/>
      <c r="N136" s="115"/>
      <c r="O136" s="115"/>
      <c r="P136" s="254"/>
      <c r="Q136" s="254"/>
      <c r="R136" s="254"/>
      <c r="T136" s="254"/>
      <c r="U136" s="254"/>
    </row>
    <row r="137" spans="1:21" ht="15">
      <c r="A137" s="253"/>
      <c r="B137" s="253"/>
      <c r="C137" s="253"/>
      <c r="D137" s="253"/>
      <c r="E137" s="115"/>
      <c r="F137" s="275"/>
      <c r="G137" s="275"/>
      <c r="H137" s="275"/>
      <c r="I137" s="115"/>
      <c r="J137" s="115"/>
      <c r="K137" s="276"/>
      <c r="L137" s="115"/>
      <c r="M137" s="115"/>
      <c r="N137" s="115"/>
      <c r="O137" s="115"/>
      <c r="P137" s="254"/>
      <c r="Q137" s="254"/>
      <c r="R137" s="254"/>
      <c r="T137" s="254"/>
      <c r="U137" s="254"/>
    </row>
    <row r="138" spans="1:21" ht="15">
      <c r="A138" s="253"/>
      <c r="B138" s="253"/>
      <c r="C138" s="253"/>
      <c r="D138" s="253"/>
      <c r="E138" s="115"/>
      <c r="F138" s="275"/>
      <c r="G138" s="275"/>
      <c r="H138" s="275"/>
      <c r="I138" s="115"/>
      <c r="J138" s="115"/>
      <c r="K138" s="276"/>
      <c r="L138" s="115"/>
      <c r="M138" s="115"/>
      <c r="N138" s="115"/>
      <c r="O138" s="115"/>
      <c r="P138" s="254"/>
      <c r="Q138" s="254"/>
      <c r="R138" s="254"/>
      <c r="T138" s="254"/>
      <c r="U138" s="254"/>
    </row>
    <row r="139" spans="1:21" ht="15">
      <c r="A139" s="253"/>
      <c r="B139" s="253"/>
      <c r="C139" s="253"/>
      <c r="D139" s="253"/>
      <c r="E139" s="115"/>
      <c r="F139" s="275"/>
      <c r="G139" s="275"/>
      <c r="H139" s="275"/>
      <c r="I139" s="115"/>
      <c r="J139" s="115"/>
      <c r="K139" s="276"/>
      <c r="L139" s="115"/>
      <c r="M139" s="115"/>
      <c r="N139" s="115"/>
      <c r="O139" s="115"/>
      <c r="P139" s="254"/>
      <c r="Q139" s="254"/>
      <c r="R139" s="254"/>
      <c r="T139" s="254"/>
      <c r="U139" s="254"/>
    </row>
    <row r="140" spans="1:21" ht="15">
      <c r="A140" s="253"/>
      <c r="B140" s="253"/>
      <c r="C140" s="253"/>
      <c r="D140" s="253"/>
      <c r="E140" s="115"/>
      <c r="F140" s="275"/>
      <c r="G140" s="275"/>
      <c r="H140" s="275"/>
      <c r="I140" s="115"/>
      <c r="J140" s="115"/>
      <c r="K140" s="276"/>
      <c r="L140" s="115"/>
      <c r="M140" s="115"/>
      <c r="N140" s="115"/>
      <c r="O140" s="115"/>
      <c r="P140" s="254"/>
      <c r="Q140" s="254"/>
      <c r="R140" s="254"/>
      <c r="T140" s="254"/>
      <c r="U140" s="254"/>
    </row>
    <row r="141" spans="1:21" ht="15">
      <c r="A141" s="253"/>
      <c r="B141" s="253"/>
      <c r="C141" s="253"/>
      <c r="D141" s="253"/>
      <c r="E141" s="115"/>
      <c r="F141" s="275"/>
      <c r="G141" s="275"/>
      <c r="H141" s="275"/>
      <c r="I141" s="115"/>
      <c r="J141" s="115"/>
      <c r="K141" s="276"/>
      <c r="L141" s="115"/>
      <c r="M141" s="115"/>
      <c r="N141" s="115"/>
      <c r="O141" s="115"/>
      <c r="P141" s="254"/>
      <c r="Q141" s="254"/>
      <c r="R141" s="254"/>
      <c r="T141" s="254"/>
      <c r="U141" s="254"/>
    </row>
    <row r="142" spans="1:21" ht="15">
      <c r="A142" s="253"/>
      <c r="B142" s="253"/>
      <c r="C142" s="253"/>
      <c r="D142" s="253"/>
      <c r="E142" s="115"/>
      <c r="F142" s="275"/>
      <c r="G142" s="275"/>
      <c r="H142" s="275"/>
      <c r="I142" s="115"/>
      <c r="J142" s="115"/>
      <c r="K142" s="276"/>
      <c r="L142" s="115"/>
      <c r="M142" s="115"/>
      <c r="N142" s="115"/>
      <c r="O142" s="115"/>
      <c r="P142" s="254"/>
      <c r="Q142" s="254"/>
      <c r="R142" s="254"/>
      <c r="T142" s="254"/>
      <c r="U142" s="254"/>
    </row>
    <row r="143" spans="1:21" ht="15">
      <c r="A143" s="253"/>
      <c r="B143" s="253"/>
      <c r="C143" s="253"/>
      <c r="D143" s="253"/>
      <c r="E143" s="115"/>
      <c r="F143" s="275"/>
      <c r="G143" s="275"/>
      <c r="H143" s="275"/>
      <c r="I143" s="115"/>
      <c r="J143" s="115"/>
      <c r="K143" s="276"/>
      <c r="L143" s="115"/>
      <c r="M143" s="115"/>
      <c r="N143" s="115"/>
      <c r="O143" s="115"/>
      <c r="P143" s="254"/>
      <c r="Q143" s="254"/>
      <c r="R143" s="254"/>
      <c r="T143" s="254"/>
      <c r="U143" s="254"/>
    </row>
    <row r="144" spans="1:21" ht="15">
      <c r="A144" s="253"/>
      <c r="B144" s="253"/>
      <c r="C144" s="253"/>
      <c r="D144" s="253"/>
      <c r="E144" s="115"/>
      <c r="F144" s="275"/>
      <c r="G144" s="275"/>
      <c r="H144" s="275"/>
      <c r="I144" s="115"/>
      <c r="J144" s="115"/>
      <c r="K144" s="276"/>
      <c r="L144" s="115"/>
      <c r="M144" s="115"/>
      <c r="N144" s="115"/>
      <c r="O144" s="115"/>
      <c r="P144" s="254"/>
      <c r="Q144" s="254"/>
      <c r="R144" s="254"/>
      <c r="T144" s="254"/>
      <c r="U144" s="254"/>
    </row>
    <row r="145" spans="1:21" ht="15">
      <c r="A145" s="253"/>
      <c r="B145" s="253"/>
      <c r="C145" s="253"/>
      <c r="D145" s="253"/>
      <c r="E145" s="115"/>
      <c r="F145" s="275"/>
      <c r="G145" s="275"/>
      <c r="H145" s="275"/>
      <c r="I145" s="115"/>
      <c r="J145" s="115"/>
      <c r="K145" s="276"/>
      <c r="L145" s="115"/>
      <c r="M145" s="115"/>
      <c r="N145" s="115"/>
      <c r="O145" s="115"/>
      <c r="P145" s="254"/>
      <c r="Q145" s="254"/>
      <c r="R145" s="254"/>
      <c r="T145" s="254"/>
      <c r="U145" s="254"/>
    </row>
    <row r="146" spans="1:21" ht="15">
      <c r="A146" s="253"/>
      <c r="B146" s="253"/>
      <c r="C146" s="253"/>
      <c r="D146" s="253"/>
      <c r="E146" s="115"/>
      <c r="F146" s="275"/>
      <c r="G146" s="275"/>
      <c r="H146" s="275"/>
      <c r="I146" s="115"/>
      <c r="J146" s="115"/>
      <c r="K146" s="276"/>
      <c r="L146" s="115"/>
      <c r="M146" s="115"/>
      <c r="N146" s="115"/>
      <c r="O146" s="115"/>
      <c r="P146" s="254"/>
      <c r="Q146" s="254"/>
      <c r="R146" s="254"/>
      <c r="T146" s="254"/>
      <c r="U146" s="254"/>
    </row>
    <row r="147" spans="1:21" ht="15">
      <c r="A147" s="253"/>
      <c r="B147" s="253"/>
      <c r="C147" s="253"/>
      <c r="D147" s="253"/>
      <c r="E147" s="115"/>
      <c r="F147" s="275"/>
      <c r="G147" s="275"/>
      <c r="H147" s="275"/>
      <c r="I147" s="115"/>
      <c r="J147" s="115"/>
      <c r="K147" s="276"/>
      <c r="L147" s="115"/>
      <c r="M147" s="115"/>
      <c r="N147" s="115"/>
      <c r="O147" s="115"/>
      <c r="P147" s="254"/>
      <c r="Q147" s="254"/>
      <c r="R147" s="254"/>
      <c r="T147" s="254"/>
      <c r="U147" s="254"/>
    </row>
    <row r="148" spans="1:21" ht="15">
      <c r="A148" s="253"/>
      <c r="B148" s="253"/>
      <c r="C148" s="253"/>
      <c r="D148" s="253"/>
      <c r="E148" s="115"/>
      <c r="F148" s="275"/>
      <c r="G148" s="275"/>
      <c r="H148" s="275"/>
      <c r="I148" s="115"/>
      <c r="J148" s="115"/>
      <c r="K148" s="276"/>
      <c r="L148" s="115"/>
      <c r="M148" s="115"/>
      <c r="N148" s="115"/>
      <c r="O148" s="115"/>
      <c r="P148" s="254"/>
      <c r="Q148" s="254"/>
      <c r="R148" s="254"/>
      <c r="T148" s="254"/>
      <c r="U148" s="254"/>
    </row>
    <row r="149" spans="1:21" ht="15">
      <c r="A149" s="253"/>
      <c r="B149" s="253"/>
      <c r="C149" s="253"/>
      <c r="D149" s="253"/>
      <c r="E149" s="115"/>
      <c r="F149" s="275"/>
      <c r="G149" s="275"/>
      <c r="H149" s="275"/>
      <c r="I149" s="115"/>
      <c r="J149" s="115"/>
      <c r="K149" s="276"/>
      <c r="L149" s="115"/>
      <c r="M149" s="115"/>
      <c r="N149" s="115"/>
      <c r="O149" s="115"/>
      <c r="P149" s="254"/>
      <c r="Q149" s="254"/>
      <c r="R149" s="254"/>
      <c r="T149" s="254"/>
      <c r="U149" s="254"/>
    </row>
    <row r="150" spans="1:21" ht="15">
      <c r="A150" s="253"/>
      <c r="B150" s="253"/>
      <c r="C150" s="253"/>
      <c r="D150" s="253"/>
      <c r="E150" s="115"/>
      <c r="F150" s="275"/>
      <c r="G150" s="275"/>
      <c r="H150" s="275"/>
      <c r="I150" s="115"/>
      <c r="J150" s="115"/>
      <c r="K150" s="276"/>
      <c r="L150" s="115"/>
      <c r="M150" s="115"/>
      <c r="N150" s="115"/>
      <c r="O150" s="115"/>
      <c r="P150" s="254"/>
      <c r="Q150" s="254"/>
      <c r="R150" s="254"/>
      <c r="T150" s="254"/>
      <c r="U150" s="254"/>
    </row>
    <row r="151" spans="1:21" ht="15">
      <c r="A151" s="253"/>
      <c r="B151" s="253"/>
      <c r="C151" s="253"/>
      <c r="D151" s="253"/>
      <c r="E151" s="115"/>
      <c r="F151" s="275"/>
      <c r="G151" s="275"/>
      <c r="H151" s="275"/>
      <c r="I151" s="115"/>
      <c r="J151" s="115"/>
      <c r="K151" s="276"/>
      <c r="L151" s="115"/>
      <c r="M151" s="115"/>
      <c r="N151" s="115"/>
      <c r="O151" s="115"/>
      <c r="P151" s="254"/>
      <c r="Q151" s="254"/>
      <c r="R151" s="254"/>
      <c r="T151" s="254"/>
      <c r="U151" s="254"/>
    </row>
    <row r="152" spans="1:21" ht="15">
      <c r="A152" s="253"/>
      <c r="B152" s="253"/>
      <c r="C152" s="253"/>
      <c r="D152" s="253"/>
      <c r="E152" s="115"/>
      <c r="F152" s="275"/>
      <c r="G152" s="275"/>
      <c r="H152" s="275"/>
      <c r="I152" s="115"/>
      <c r="J152" s="115"/>
      <c r="K152" s="276"/>
      <c r="L152" s="115"/>
      <c r="M152" s="115"/>
      <c r="N152" s="115"/>
      <c r="O152" s="115"/>
      <c r="P152" s="254"/>
      <c r="Q152" s="254"/>
      <c r="R152" s="254"/>
      <c r="T152" s="254"/>
      <c r="U152" s="254"/>
    </row>
    <row r="153" spans="1:21" ht="15">
      <c r="A153" s="253"/>
      <c r="B153" s="253"/>
      <c r="C153" s="253"/>
      <c r="D153" s="253"/>
      <c r="E153" s="115"/>
      <c r="F153" s="275"/>
      <c r="G153" s="275"/>
      <c r="H153" s="275"/>
      <c r="I153" s="115"/>
      <c r="J153" s="115"/>
      <c r="K153" s="276"/>
      <c r="L153" s="115"/>
      <c r="M153" s="115"/>
      <c r="N153" s="115"/>
      <c r="O153" s="115"/>
      <c r="P153" s="254"/>
      <c r="Q153" s="254"/>
      <c r="R153" s="254"/>
      <c r="T153" s="254"/>
      <c r="U153" s="254"/>
    </row>
    <row r="154" spans="1:21" ht="15">
      <c r="A154" s="253"/>
      <c r="B154" s="253"/>
      <c r="C154" s="253"/>
      <c r="D154" s="253"/>
      <c r="E154" s="115"/>
      <c r="F154" s="275"/>
      <c r="G154" s="275"/>
      <c r="H154" s="275"/>
      <c r="I154" s="115"/>
      <c r="J154" s="115"/>
      <c r="K154" s="276"/>
      <c r="L154" s="115"/>
      <c r="M154" s="115"/>
      <c r="N154" s="115"/>
      <c r="O154" s="115"/>
      <c r="P154" s="254"/>
      <c r="Q154" s="254"/>
      <c r="R154" s="254"/>
      <c r="T154" s="254"/>
      <c r="U154" s="254"/>
    </row>
    <row r="155" spans="1:21" ht="15">
      <c r="A155" s="253"/>
      <c r="B155" s="253"/>
      <c r="C155" s="253"/>
      <c r="D155" s="253"/>
      <c r="E155" s="115"/>
      <c r="F155" s="275"/>
      <c r="G155" s="275"/>
      <c r="H155" s="275"/>
      <c r="I155" s="115"/>
      <c r="J155" s="115"/>
      <c r="K155" s="276"/>
      <c r="L155" s="115"/>
      <c r="M155" s="115"/>
      <c r="N155" s="115"/>
      <c r="O155" s="115"/>
      <c r="P155" s="254"/>
      <c r="Q155" s="254"/>
      <c r="R155" s="254"/>
      <c r="T155" s="254"/>
      <c r="U155" s="254"/>
    </row>
    <row r="156" spans="1:21" ht="15">
      <c r="A156" s="253"/>
      <c r="B156" s="253"/>
      <c r="C156" s="253"/>
      <c r="D156" s="253"/>
      <c r="E156" s="115"/>
      <c r="F156" s="275"/>
      <c r="G156" s="275"/>
      <c r="H156" s="275"/>
      <c r="I156" s="115"/>
      <c r="J156" s="115"/>
      <c r="K156" s="276"/>
      <c r="L156" s="115"/>
      <c r="M156" s="115"/>
      <c r="N156" s="115"/>
      <c r="O156" s="115"/>
      <c r="P156" s="254"/>
      <c r="Q156" s="254"/>
      <c r="R156" s="254"/>
      <c r="T156" s="254"/>
      <c r="U156" s="254"/>
    </row>
    <row r="157" spans="1:21" ht="15">
      <c r="A157" s="253"/>
      <c r="B157" s="253"/>
      <c r="C157" s="253"/>
      <c r="D157" s="253"/>
      <c r="E157" s="115"/>
      <c r="F157" s="275"/>
      <c r="G157" s="275"/>
      <c r="H157" s="275"/>
      <c r="I157" s="115"/>
      <c r="J157" s="115"/>
      <c r="K157" s="276"/>
      <c r="L157" s="115"/>
      <c r="M157" s="115"/>
      <c r="N157" s="115"/>
      <c r="O157" s="115"/>
      <c r="P157" s="254"/>
      <c r="Q157" s="254"/>
      <c r="R157" s="254"/>
      <c r="T157" s="254"/>
      <c r="U157" s="254"/>
    </row>
    <row r="158" spans="1:21" ht="15">
      <c r="A158" s="253"/>
      <c r="B158" s="253"/>
      <c r="C158" s="253"/>
      <c r="D158" s="253"/>
      <c r="E158" s="115"/>
      <c r="F158" s="275"/>
      <c r="G158" s="275"/>
      <c r="H158" s="275"/>
      <c r="I158" s="115"/>
      <c r="J158" s="115"/>
      <c r="K158" s="276"/>
      <c r="L158" s="115"/>
      <c r="M158" s="115"/>
      <c r="N158" s="115"/>
      <c r="O158" s="115"/>
      <c r="P158" s="254"/>
      <c r="Q158" s="254"/>
      <c r="R158" s="254"/>
      <c r="T158" s="254"/>
      <c r="U158" s="254"/>
    </row>
    <row r="159" spans="1:21" ht="15">
      <c r="A159" s="253"/>
      <c r="B159" s="253"/>
      <c r="C159" s="253"/>
      <c r="D159" s="253"/>
      <c r="E159" s="115"/>
      <c r="F159" s="275"/>
      <c r="G159" s="275"/>
      <c r="H159" s="275"/>
      <c r="I159" s="115"/>
      <c r="J159" s="115"/>
      <c r="K159" s="276"/>
      <c r="L159" s="115"/>
      <c r="M159" s="115"/>
      <c r="N159" s="115"/>
      <c r="O159" s="115"/>
      <c r="P159" s="254"/>
      <c r="Q159" s="254"/>
      <c r="R159" s="254"/>
      <c r="T159" s="254"/>
      <c r="U159" s="254"/>
    </row>
    <row r="160" spans="1:21" ht="15">
      <c r="A160" s="253"/>
      <c r="B160" s="253"/>
      <c r="C160" s="253"/>
      <c r="D160" s="253"/>
      <c r="E160" s="115"/>
      <c r="F160" s="275"/>
      <c r="G160" s="275"/>
      <c r="H160" s="275"/>
      <c r="I160" s="115"/>
      <c r="J160" s="115"/>
      <c r="K160" s="276"/>
      <c r="L160" s="115"/>
      <c r="M160" s="115"/>
      <c r="N160" s="115"/>
      <c r="O160" s="115"/>
      <c r="P160" s="254"/>
      <c r="Q160" s="254"/>
      <c r="R160" s="254"/>
      <c r="T160" s="254"/>
      <c r="U160" s="254"/>
    </row>
    <row r="161" spans="1:21" ht="15">
      <c r="A161" s="253"/>
      <c r="B161" s="253"/>
      <c r="C161" s="253"/>
      <c r="D161" s="253"/>
      <c r="E161" s="115"/>
      <c r="F161" s="275"/>
      <c r="G161" s="275"/>
      <c r="H161" s="275"/>
      <c r="I161" s="115"/>
      <c r="J161" s="115"/>
      <c r="K161" s="276"/>
      <c r="L161" s="115"/>
      <c r="M161" s="115"/>
      <c r="N161" s="115"/>
      <c r="O161" s="115"/>
      <c r="P161" s="254"/>
      <c r="Q161" s="254"/>
      <c r="R161" s="254"/>
      <c r="T161" s="254"/>
      <c r="U161" s="254"/>
    </row>
    <row r="162" spans="1:21" ht="15">
      <c r="A162" s="253"/>
      <c r="B162" s="253"/>
      <c r="C162" s="253"/>
      <c r="D162" s="253"/>
      <c r="E162" s="115"/>
      <c r="F162" s="275"/>
      <c r="G162" s="275"/>
      <c r="H162" s="275"/>
      <c r="I162" s="115"/>
      <c r="J162" s="115"/>
      <c r="K162" s="276"/>
      <c r="L162" s="115"/>
      <c r="M162" s="115"/>
      <c r="N162" s="115"/>
      <c r="O162" s="115"/>
      <c r="P162" s="254"/>
      <c r="Q162" s="254"/>
      <c r="R162" s="254"/>
      <c r="T162" s="254"/>
      <c r="U162" s="254"/>
    </row>
    <row r="163" spans="1:21" ht="15">
      <c r="A163" s="253"/>
      <c r="B163" s="253"/>
      <c r="C163" s="253"/>
      <c r="D163" s="253"/>
      <c r="E163" s="115"/>
      <c r="F163" s="275"/>
      <c r="G163" s="275"/>
      <c r="H163" s="275"/>
      <c r="I163" s="115"/>
      <c r="J163" s="115"/>
      <c r="K163" s="276"/>
      <c r="L163" s="115"/>
      <c r="M163" s="115"/>
      <c r="N163" s="115"/>
      <c r="O163" s="115"/>
      <c r="P163" s="254"/>
      <c r="Q163" s="254"/>
      <c r="R163" s="254"/>
      <c r="T163" s="254"/>
      <c r="U163" s="254"/>
    </row>
    <row r="164" spans="1:21" ht="15">
      <c r="A164" s="253"/>
      <c r="B164" s="253"/>
      <c r="C164" s="253"/>
      <c r="D164" s="253"/>
      <c r="E164" s="115"/>
      <c r="F164" s="275"/>
      <c r="G164" s="275"/>
      <c r="H164" s="275"/>
      <c r="I164" s="115"/>
      <c r="J164" s="115"/>
      <c r="K164" s="276"/>
      <c r="L164" s="115"/>
      <c r="M164" s="115"/>
      <c r="N164" s="115"/>
      <c r="O164" s="115"/>
      <c r="P164" s="254"/>
      <c r="Q164" s="254"/>
      <c r="R164" s="254"/>
      <c r="T164" s="254"/>
      <c r="U164" s="254"/>
    </row>
    <row r="165" spans="1:21" ht="15">
      <c r="A165" s="253"/>
      <c r="B165" s="253"/>
      <c r="C165" s="253"/>
      <c r="D165" s="253"/>
      <c r="E165" s="115"/>
      <c r="F165" s="275"/>
      <c r="G165" s="275"/>
      <c r="H165" s="275"/>
      <c r="I165" s="115"/>
      <c r="J165" s="115"/>
      <c r="K165" s="276"/>
      <c r="L165" s="115"/>
      <c r="M165" s="115"/>
      <c r="N165" s="115"/>
      <c r="O165" s="115"/>
      <c r="P165" s="254"/>
      <c r="Q165" s="254"/>
      <c r="R165" s="254"/>
      <c r="T165" s="254"/>
      <c r="U165" s="254"/>
    </row>
    <row r="166" spans="1:21" ht="15">
      <c r="A166" s="253"/>
      <c r="B166" s="253"/>
      <c r="C166" s="253"/>
      <c r="D166" s="253"/>
      <c r="E166" s="115"/>
      <c r="F166" s="275"/>
      <c r="G166" s="275"/>
      <c r="H166" s="275"/>
      <c r="I166" s="115"/>
      <c r="J166" s="115"/>
      <c r="K166" s="276"/>
      <c r="L166" s="115"/>
      <c r="M166" s="115"/>
      <c r="N166" s="115"/>
      <c r="O166" s="115"/>
      <c r="P166" s="254"/>
      <c r="Q166" s="254"/>
      <c r="R166" s="254"/>
      <c r="T166" s="254"/>
      <c r="U166" s="254"/>
    </row>
    <row r="167" spans="1:21" ht="15">
      <c r="A167" s="253"/>
      <c r="B167" s="253"/>
      <c r="C167" s="253"/>
      <c r="D167" s="253"/>
      <c r="E167" s="115"/>
      <c r="F167" s="275"/>
      <c r="G167" s="275"/>
      <c r="H167" s="275"/>
      <c r="I167" s="115"/>
      <c r="J167" s="115"/>
      <c r="K167" s="276"/>
      <c r="L167" s="115"/>
      <c r="M167" s="115"/>
      <c r="N167" s="115"/>
      <c r="O167" s="115"/>
      <c r="P167" s="254"/>
      <c r="Q167" s="254"/>
      <c r="R167" s="254"/>
      <c r="T167" s="254"/>
      <c r="U167" s="254"/>
    </row>
    <row r="168" spans="1:21" ht="15">
      <c r="A168" s="253"/>
      <c r="B168" s="253"/>
      <c r="C168" s="253"/>
      <c r="D168" s="253"/>
      <c r="E168" s="115"/>
      <c r="F168" s="275"/>
      <c r="G168" s="275"/>
      <c r="H168" s="275"/>
      <c r="I168" s="115"/>
      <c r="J168" s="115"/>
      <c r="K168" s="276"/>
      <c r="L168" s="115"/>
      <c r="M168" s="115"/>
      <c r="N168" s="115"/>
      <c r="O168" s="115"/>
      <c r="P168" s="254"/>
      <c r="Q168" s="254"/>
      <c r="R168" s="254"/>
      <c r="T168" s="254"/>
      <c r="U168" s="254"/>
    </row>
    <row r="169" spans="1:21" ht="15">
      <c r="A169" s="253"/>
      <c r="B169" s="253"/>
      <c r="C169" s="253"/>
      <c r="D169" s="253"/>
      <c r="E169" s="115"/>
      <c r="F169" s="275"/>
      <c r="G169" s="275"/>
      <c r="H169" s="275"/>
      <c r="I169" s="115"/>
      <c r="J169" s="115"/>
      <c r="K169" s="276"/>
      <c r="L169" s="115"/>
      <c r="M169" s="115"/>
      <c r="N169" s="115"/>
      <c r="O169" s="115"/>
      <c r="P169" s="254"/>
      <c r="Q169" s="254"/>
      <c r="R169" s="254"/>
      <c r="T169" s="254"/>
      <c r="U169" s="254"/>
    </row>
    <row r="170" spans="1:21" ht="15">
      <c r="A170" s="253"/>
      <c r="B170" s="253"/>
      <c r="C170" s="253"/>
      <c r="D170" s="253"/>
      <c r="E170" s="115"/>
      <c r="F170" s="275"/>
      <c r="G170" s="275"/>
      <c r="H170" s="275"/>
      <c r="I170" s="115"/>
      <c r="J170" s="115"/>
      <c r="K170" s="276"/>
      <c r="L170" s="115"/>
      <c r="M170" s="115"/>
      <c r="N170" s="115"/>
      <c r="O170" s="115"/>
      <c r="P170" s="254"/>
      <c r="Q170" s="254"/>
      <c r="R170" s="254"/>
      <c r="T170" s="254"/>
      <c r="U170" s="254"/>
    </row>
    <row r="171" spans="1:21" ht="15">
      <c r="A171" s="253"/>
      <c r="B171" s="253"/>
      <c r="C171" s="253"/>
      <c r="D171" s="253"/>
      <c r="E171" s="115"/>
      <c r="F171" s="275"/>
      <c r="G171" s="275"/>
      <c r="H171" s="275"/>
      <c r="I171" s="115"/>
      <c r="J171" s="115"/>
      <c r="K171" s="276"/>
      <c r="L171" s="115"/>
      <c r="M171" s="115"/>
      <c r="N171" s="115"/>
      <c r="O171" s="115"/>
      <c r="P171" s="254"/>
      <c r="Q171" s="254"/>
      <c r="R171" s="254"/>
      <c r="T171" s="254"/>
      <c r="U171" s="254"/>
    </row>
    <row r="172" spans="1:21" ht="15">
      <c r="A172" s="253"/>
      <c r="B172" s="253"/>
      <c r="C172" s="253"/>
      <c r="D172" s="253"/>
      <c r="E172" s="115"/>
      <c r="F172" s="275"/>
      <c r="G172" s="275"/>
      <c r="H172" s="275"/>
      <c r="I172" s="115"/>
      <c r="J172" s="115"/>
      <c r="K172" s="276"/>
      <c r="L172" s="115"/>
      <c r="M172" s="115"/>
      <c r="N172" s="115"/>
      <c r="O172" s="115"/>
      <c r="P172" s="254"/>
      <c r="Q172" s="254"/>
      <c r="R172" s="254"/>
      <c r="T172" s="254"/>
      <c r="U172" s="254"/>
    </row>
    <row r="173" spans="1:21" ht="15">
      <c r="A173" s="253"/>
      <c r="B173" s="253"/>
      <c r="C173" s="253"/>
      <c r="D173" s="253"/>
      <c r="E173" s="115"/>
      <c r="F173" s="275"/>
      <c r="G173" s="275"/>
      <c r="H173" s="275"/>
      <c r="I173" s="115"/>
      <c r="J173" s="115"/>
      <c r="K173" s="276"/>
      <c r="L173" s="115"/>
      <c r="M173" s="115"/>
      <c r="N173" s="115"/>
      <c r="O173" s="115"/>
      <c r="P173" s="254"/>
      <c r="Q173" s="254"/>
      <c r="R173" s="254"/>
      <c r="T173" s="254"/>
      <c r="U173" s="254"/>
    </row>
    <row r="174" spans="1:21" ht="15">
      <c r="A174" s="253"/>
      <c r="B174" s="253"/>
      <c r="C174" s="253"/>
      <c r="D174" s="253"/>
      <c r="E174" s="115"/>
      <c r="F174" s="275"/>
      <c r="G174" s="275"/>
      <c r="H174" s="275"/>
      <c r="I174" s="115"/>
      <c r="J174" s="115"/>
      <c r="K174" s="276"/>
      <c r="L174" s="115"/>
      <c r="M174" s="115"/>
      <c r="N174" s="115"/>
      <c r="O174" s="115"/>
      <c r="P174" s="254"/>
      <c r="Q174" s="254"/>
      <c r="R174" s="254"/>
      <c r="T174" s="254"/>
      <c r="U174" s="254"/>
    </row>
    <row r="175" spans="1:21" ht="15">
      <c r="A175" s="253"/>
      <c r="B175" s="253"/>
      <c r="C175" s="253"/>
      <c r="D175" s="253"/>
      <c r="E175" s="115"/>
      <c r="F175" s="275"/>
      <c r="G175" s="275"/>
      <c r="H175" s="275"/>
      <c r="I175" s="115"/>
      <c r="J175" s="115"/>
      <c r="K175" s="276"/>
      <c r="L175" s="115"/>
      <c r="M175" s="115"/>
      <c r="N175" s="115"/>
      <c r="O175" s="115"/>
      <c r="P175" s="254"/>
      <c r="Q175" s="254"/>
      <c r="R175" s="254"/>
      <c r="T175" s="254"/>
      <c r="U175" s="254"/>
    </row>
    <row r="176" spans="1:21" ht="15">
      <c r="A176" s="253"/>
      <c r="B176" s="253"/>
      <c r="C176" s="253"/>
      <c r="D176" s="253"/>
      <c r="E176" s="115"/>
      <c r="F176" s="275"/>
      <c r="G176" s="275"/>
      <c r="H176" s="275"/>
      <c r="I176" s="115"/>
      <c r="J176" s="115"/>
      <c r="K176" s="276"/>
      <c r="L176" s="115"/>
      <c r="M176" s="115"/>
      <c r="N176" s="115"/>
      <c r="O176" s="115"/>
      <c r="P176" s="254"/>
      <c r="Q176" s="254"/>
      <c r="R176" s="254"/>
      <c r="T176" s="254"/>
      <c r="U176" s="254"/>
    </row>
    <row r="177" spans="1:21" ht="15">
      <c r="A177" s="253"/>
      <c r="B177" s="253"/>
      <c r="C177" s="253"/>
      <c r="D177" s="253"/>
      <c r="E177" s="115"/>
      <c r="F177" s="275"/>
      <c r="G177" s="275"/>
      <c r="H177" s="275"/>
      <c r="I177" s="115"/>
      <c r="J177" s="115"/>
      <c r="K177" s="276"/>
      <c r="L177" s="115"/>
      <c r="M177" s="115"/>
      <c r="N177" s="115"/>
      <c r="O177" s="115"/>
      <c r="P177" s="254"/>
      <c r="Q177" s="254"/>
      <c r="R177" s="254"/>
      <c r="T177" s="254"/>
      <c r="U177" s="254"/>
    </row>
    <row r="178" spans="1:21" ht="15">
      <c r="A178" s="253"/>
      <c r="B178" s="253"/>
      <c r="C178" s="253"/>
      <c r="D178" s="253"/>
      <c r="E178" s="115"/>
      <c r="F178" s="275"/>
      <c r="G178" s="275"/>
      <c r="H178" s="275"/>
      <c r="I178" s="115"/>
      <c r="J178" s="115"/>
      <c r="K178" s="276"/>
      <c r="L178" s="115"/>
      <c r="M178" s="115"/>
      <c r="N178" s="115"/>
      <c r="O178" s="115"/>
      <c r="P178" s="254"/>
      <c r="Q178" s="254"/>
      <c r="R178" s="254"/>
      <c r="T178" s="254"/>
      <c r="U178" s="254"/>
    </row>
    <row r="179" spans="1:21" ht="15">
      <c r="A179" s="253"/>
      <c r="B179" s="253"/>
      <c r="C179" s="253"/>
      <c r="D179" s="253"/>
      <c r="E179" s="115"/>
      <c r="F179" s="275"/>
      <c r="G179" s="275"/>
      <c r="H179" s="275"/>
      <c r="I179" s="115"/>
      <c r="J179" s="115"/>
      <c r="K179" s="276"/>
      <c r="L179" s="115"/>
      <c r="M179" s="115"/>
      <c r="N179" s="115"/>
      <c r="O179" s="115"/>
      <c r="P179" s="254"/>
      <c r="Q179" s="254"/>
      <c r="R179" s="254"/>
      <c r="T179" s="254"/>
      <c r="U179" s="254"/>
    </row>
    <row r="180" spans="1:21" ht="15">
      <c r="A180" s="253"/>
      <c r="B180" s="253"/>
      <c r="C180" s="253"/>
      <c r="D180" s="253"/>
      <c r="E180" s="115"/>
      <c r="F180" s="275"/>
      <c r="G180" s="275"/>
      <c r="H180" s="275"/>
      <c r="I180" s="115"/>
      <c r="J180" s="115"/>
      <c r="K180" s="276"/>
      <c r="L180" s="115"/>
      <c r="M180" s="115"/>
      <c r="N180" s="115"/>
      <c r="O180" s="115"/>
      <c r="P180" s="254"/>
      <c r="Q180" s="254"/>
      <c r="R180" s="254"/>
      <c r="T180" s="254"/>
      <c r="U180" s="254"/>
    </row>
    <row r="181" spans="1:21" ht="15">
      <c r="A181" s="253"/>
      <c r="B181" s="253"/>
      <c r="C181" s="253"/>
      <c r="D181" s="253"/>
      <c r="E181" s="115"/>
      <c r="F181" s="275"/>
      <c r="G181" s="275"/>
      <c r="H181" s="275"/>
      <c r="I181" s="115"/>
      <c r="J181" s="115"/>
      <c r="K181" s="276"/>
      <c r="L181" s="115"/>
      <c r="M181" s="115"/>
      <c r="N181" s="115"/>
      <c r="O181" s="115"/>
      <c r="P181" s="254"/>
      <c r="Q181" s="254"/>
      <c r="R181" s="254"/>
      <c r="T181" s="254"/>
      <c r="U181" s="254"/>
    </row>
    <row r="182" spans="1:21" ht="15">
      <c r="A182" s="253"/>
      <c r="B182" s="253"/>
      <c r="C182" s="253"/>
      <c r="D182" s="253"/>
      <c r="E182" s="115"/>
      <c r="F182" s="275"/>
      <c r="G182" s="275"/>
      <c r="H182" s="275"/>
      <c r="I182" s="115"/>
      <c r="J182" s="115"/>
      <c r="K182" s="276"/>
      <c r="L182" s="115"/>
      <c r="M182" s="115"/>
      <c r="N182" s="115"/>
      <c r="O182" s="115"/>
      <c r="P182" s="254"/>
      <c r="Q182" s="254"/>
      <c r="R182" s="254"/>
      <c r="T182" s="254"/>
      <c r="U182" s="254"/>
    </row>
    <row r="183" spans="1:21" ht="15">
      <c r="A183" s="253"/>
      <c r="B183" s="253"/>
      <c r="C183" s="253"/>
      <c r="D183" s="253"/>
      <c r="E183" s="115"/>
      <c r="F183" s="275"/>
      <c r="G183" s="275"/>
      <c r="H183" s="275"/>
      <c r="I183" s="115"/>
      <c r="J183" s="115"/>
      <c r="K183" s="276"/>
      <c r="L183" s="115"/>
      <c r="M183" s="115"/>
      <c r="N183" s="115"/>
      <c r="O183" s="115"/>
      <c r="P183" s="254"/>
      <c r="Q183" s="254"/>
      <c r="R183" s="254"/>
      <c r="T183" s="254"/>
      <c r="U183" s="254"/>
    </row>
    <row r="184" spans="1:21" ht="15">
      <c r="A184" s="253"/>
      <c r="B184" s="253"/>
      <c r="C184" s="253"/>
      <c r="D184" s="253"/>
      <c r="E184" s="115"/>
      <c r="F184" s="275"/>
      <c r="G184" s="275"/>
      <c r="H184" s="275"/>
      <c r="I184" s="115"/>
      <c r="J184" s="115"/>
      <c r="K184" s="276"/>
      <c r="L184" s="115"/>
      <c r="M184" s="115"/>
      <c r="N184" s="115"/>
      <c r="O184" s="115"/>
      <c r="P184" s="254"/>
      <c r="Q184" s="254"/>
      <c r="R184" s="254"/>
      <c r="T184" s="254"/>
      <c r="U184" s="254"/>
    </row>
    <row r="185" spans="1:21" ht="15">
      <c r="A185" s="253"/>
      <c r="B185" s="253"/>
      <c r="C185" s="253"/>
      <c r="D185" s="253"/>
      <c r="E185" s="115"/>
      <c r="F185" s="275"/>
      <c r="G185" s="275"/>
      <c r="H185" s="275"/>
      <c r="I185" s="115"/>
      <c r="J185" s="115"/>
      <c r="K185" s="276"/>
      <c r="L185" s="115"/>
      <c r="M185" s="115"/>
      <c r="N185" s="115"/>
      <c r="O185" s="115"/>
      <c r="P185" s="254"/>
      <c r="Q185" s="254"/>
      <c r="R185" s="254"/>
      <c r="T185" s="254"/>
      <c r="U185" s="254"/>
    </row>
    <row r="186" spans="1:21" ht="15">
      <c r="A186" s="253"/>
      <c r="B186" s="253"/>
      <c r="C186" s="253"/>
      <c r="D186" s="253"/>
      <c r="E186" s="115"/>
      <c r="F186" s="275"/>
      <c r="G186" s="275"/>
      <c r="H186" s="275"/>
      <c r="I186" s="115"/>
      <c r="J186" s="115"/>
      <c r="K186" s="276"/>
      <c r="L186" s="115"/>
      <c r="M186" s="115"/>
      <c r="N186" s="115"/>
      <c r="O186" s="115"/>
      <c r="P186" s="254"/>
      <c r="Q186" s="254"/>
      <c r="R186" s="254"/>
      <c r="T186" s="254"/>
      <c r="U186" s="254"/>
    </row>
    <row r="187" spans="1:21" ht="15">
      <c r="A187" s="253"/>
      <c r="B187" s="253"/>
      <c r="C187" s="253"/>
      <c r="D187" s="253"/>
      <c r="E187" s="115"/>
      <c r="F187" s="275"/>
      <c r="G187" s="275"/>
      <c r="H187" s="275"/>
      <c r="I187" s="115"/>
      <c r="J187" s="115"/>
      <c r="K187" s="276"/>
      <c r="L187" s="115"/>
      <c r="M187" s="115"/>
      <c r="N187" s="115"/>
      <c r="O187" s="115"/>
      <c r="P187" s="254"/>
      <c r="Q187" s="254"/>
      <c r="R187" s="254"/>
      <c r="T187" s="254"/>
      <c r="U187" s="254"/>
    </row>
    <row r="188" spans="1:21" ht="15">
      <c r="A188" s="253"/>
      <c r="B188" s="253"/>
      <c r="C188" s="253"/>
      <c r="D188" s="253"/>
      <c r="E188" s="115"/>
      <c r="F188" s="275"/>
      <c r="G188" s="275"/>
      <c r="H188" s="275"/>
      <c r="I188" s="115"/>
      <c r="J188" s="115"/>
      <c r="K188" s="276"/>
      <c r="L188" s="115"/>
      <c r="M188" s="115"/>
      <c r="N188" s="115"/>
      <c r="O188" s="115"/>
      <c r="P188" s="254"/>
      <c r="Q188" s="254"/>
      <c r="R188" s="254"/>
      <c r="T188" s="254"/>
      <c r="U188" s="254"/>
    </row>
    <row r="189" spans="1:21" ht="15">
      <c r="A189" s="253"/>
      <c r="B189" s="253"/>
      <c r="C189" s="253"/>
      <c r="D189" s="253"/>
      <c r="E189" s="115"/>
      <c r="F189" s="275"/>
      <c r="G189" s="275"/>
      <c r="H189" s="275"/>
      <c r="I189" s="115"/>
      <c r="J189" s="115"/>
      <c r="K189" s="276"/>
      <c r="L189" s="115"/>
      <c r="M189" s="115"/>
      <c r="N189" s="115"/>
      <c r="O189" s="115"/>
      <c r="P189" s="254"/>
      <c r="Q189" s="254"/>
      <c r="R189" s="254"/>
      <c r="T189" s="254"/>
      <c r="U189" s="254"/>
    </row>
    <row r="190" spans="1:21" ht="15">
      <c r="A190" s="253"/>
      <c r="B190" s="253"/>
      <c r="C190" s="253"/>
      <c r="D190" s="253"/>
      <c r="E190" s="115"/>
      <c r="F190" s="275"/>
      <c r="G190" s="275"/>
      <c r="H190" s="275"/>
      <c r="I190" s="115"/>
      <c r="J190" s="115"/>
      <c r="K190" s="276"/>
      <c r="L190" s="115"/>
      <c r="M190" s="115"/>
      <c r="N190" s="115"/>
      <c r="O190" s="115"/>
      <c r="P190" s="254"/>
      <c r="Q190" s="254"/>
      <c r="R190" s="254"/>
      <c r="T190" s="254"/>
      <c r="U190" s="254"/>
    </row>
    <row r="191" spans="1:21" ht="15">
      <c r="A191" s="253"/>
      <c r="B191" s="253"/>
      <c r="C191" s="253"/>
      <c r="D191" s="253"/>
      <c r="E191" s="115"/>
      <c r="F191" s="275"/>
      <c r="G191" s="275"/>
      <c r="H191" s="275"/>
      <c r="I191" s="115"/>
      <c r="J191" s="115"/>
      <c r="K191" s="276"/>
      <c r="L191" s="115"/>
      <c r="M191" s="115"/>
      <c r="N191" s="115"/>
      <c r="O191" s="115"/>
      <c r="P191" s="254"/>
      <c r="Q191" s="254"/>
      <c r="R191" s="254"/>
      <c r="T191" s="254"/>
      <c r="U191" s="254"/>
    </row>
    <row r="192" spans="1:21" ht="15">
      <c r="A192" s="253"/>
      <c r="B192" s="253"/>
      <c r="C192" s="253"/>
      <c r="D192" s="253"/>
      <c r="E192" s="115"/>
      <c r="F192" s="275"/>
      <c r="G192" s="275"/>
      <c r="H192" s="275"/>
      <c r="I192" s="115"/>
      <c r="J192" s="115"/>
      <c r="K192" s="276"/>
      <c r="L192" s="115"/>
      <c r="M192" s="115"/>
      <c r="N192" s="115"/>
      <c r="O192" s="115"/>
      <c r="P192" s="254"/>
      <c r="Q192" s="254"/>
      <c r="R192" s="254"/>
      <c r="T192" s="254"/>
      <c r="U192" s="254"/>
    </row>
    <row r="193" spans="1:21" ht="15">
      <c r="A193" s="253"/>
      <c r="B193" s="253"/>
      <c r="C193" s="253"/>
      <c r="D193" s="253"/>
      <c r="E193" s="115"/>
      <c r="F193" s="275"/>
      <c r="G193" s="275"/>
      <c r="H193" s="275"/>
      <c r="I193" s="115"/>
      <c r="J193" s="115"/>
      <c r="K193" s="276"/>
      <c r="L193" s="115"/>
      <c r="M193" s="115"/>
      <c r="N193" s="115"/>
      <c r="O193" s="115"/>
      <c r="P193" s="254"/>
      <c r="Q193" s="254"/>
      <c r="R193" s="254"/>
      <c r="T193" s="254"/>
      <c r="U193" s="254"/>
    </row>
    <row r="194" spans="1:21" ht="15">
      <c r="A194" s="253"/>
      <c r="B194" s="253"/>
      <c r="C194" s="253"/>
      <c r="D194" s="253"/>
      <c r="E194" s="115"/>
      <c r="F194" s="275"/>
      <c r="G194" s="275"/>
      <c r="H194" s="275"/>
      <c r="I194" s="115"/>
      <c r="J194" s="115"/>
      <c r="K194" s="276"/>
      <c r="L194" s="115"/>
      <c r="M194" s="115"/>
      <c r="N194" s="115"/>
      <c r="O194" s="115"/>
      <c r="P194" s="254"/>
      <c r="Q194" s="254"/>
      <c r="R194" s="254"/>
      <c r="T194" s="254"/>
      <c r="U194" s="254"/>
    </row>
    <row r="195" spans="1:21" ht="15">
      <c r="A195" s="253"/>
      <c r="B195" s="253"/>
      <c r="C195" s="253"/>
      <c r="D195" s="253"/>
      <c r="E195" s="115"/>
      <c r="F195" s="275"/>
      <c r="G195" s="275"/>
      <c r="H195" s="275"/>
      <c r="I195" s="115"/>
      <c r="J195" s="115"/>
      <c r="K195" s="276"/>
      <c r="L195" s="115"/>
      <c r="M195" s="115"/>
      <c r="N195" s="115"/>
      <c r="O195" s="115"/>
      <c r="P195" s="254"/>
      <c r="Q195" s="254"/>
      <c r="R195" s="254"/>
      <c r="T195" s="254"/>
      <c r="U195" s="254"/>
    </row>
    <row r="196" spans="1:21" ht="15">
      <c r="A196" s="253"/>
      <c r="B196" s="253"/>
      <c r="C196" s="253"/>
      <c r="D196" s="253"/>
      <c r="E196" s="115"/>
      <c r="F196" s="275"/>
      <c r="G196" s="275"/>
      <c r="H196" s="275"/>
      <c r="I196" s="115"/>
      <c r="J196" s="115"/>
      <c r="K196" s="276"/>
      <c r="L196" s="115"/>
      <c r="M196" s="115"/>
      <c r="N196" s="115"/>
      <c r="O196" s="115"/>
      <c r="P196" s="254"/>
      <c r="Q196" s="254"/>
      <c r="R196" s="254"/>
      <c r="T196" s="254"/>
      <c r="U196" s="254"/>
    </row>
    <row r="197" spans="1:21" ht="15">
      <c r="A197" s="253"/>
      <c r="B197" s="253"/>
      <c r="C197" s="253"/>
      <c r="D197" s="253"/>
      <c r="E197" s="115"/>
      <c r="F197" s="275"/>
      <c r="G197" s="275"/>
      <c r="H197" s="275"/>
      <c r="I197" s="115"/>
      <c r="J197" s="115"/>
      <c r="K197" s="276"/>
      <c r="L197" s="115"/>
      <c r="M197" s="115"/>
      <c r="N197" s="115"/>
      <c r="O197" s="115"/>
      <c r="P197" s="254"/>
      <c r="Q197" s="254"/>
      <c r="R197" s="254"/>
      <c r="T197" s="254"/>
      <c r="U197" s="254"/>
    </row>
    <row r="198" spans="1:21" ht="15">
      <c r="A198" s="253"/>
      <c r="B198" s="253"/>
      <c r="C198" s="253"/>
      <c r="D198" s="253"/>
      <c r="E198" s="115"/>
      <c r="F198" s="275"/>
      <c r="G198" s="275"/>
      <c r="H198" s="275"/>
      <c r="I198" s="115"/>
      <c r="J198" s="115"/>
      <c r="K198" s="276"/>
      <c r="L198" s="115"/>
      <c r="M198" s="115"/>
      <c r="N198" s="115"/>
      <c r="O198" s="115"/>
      <c r="P198" s="254"/>
      <c r="Q198" s="254"/>
      <c r="R198" s="254"/>
      <c r="T198" s="254"/>
      <c r="U198" s="254"/>
    </row>
    <row r="199" spans="1:21" ht="15">
      <c r="A199" s="253"/>
      <c r="B199" s="253"/>
      <c r="C199" s="253"/>
      <c r="D199" s="253"/>
      <c r="E199" s="115"/>
      <c r="F199" s="275"/>
      <c r="G199" s="275"/>
      <c r="H199" s="275"/>
      <c r="I199" s="115"/>
      <c r="J199" s="115"/>
      <c r="K199" s="276"/>
      <c r="L199" s="115"/>
      <c r="M199" s="115"/>
      <c r="N199" s="115"/>
      <c r="O199" s="115"/>
      <c r="P199" s="254"/>
      <c r="Q199" s="254"/>
      <c r="R199" s="254"/>
      <c r="T199" s="254"/>
      <c r="U199" s="254"/>
    </row>
    <row r="200" spans="1:21" ht="15">
      <c r="A200" s="253"/>
      <c r="B200" s="253"/>
      <c r="C200" s="253"/>
      <c r="D200" s="253"/>
      <c r="E200" s="115"/>
      <c r="F200" s="275"/>
      <c r="G200" s="275"/>
      <c r="H200" s="275"/>
      <c r="I200" s="115"/>
      <c r="J200" s="115"/>
      <c r="K200" s="276"/>
      <c r="L200" s="115"/>
      <c r="M200" s="115"/>
      <c r="N200" s="115"/>
      <c r="O200" s="115"/>
      <c r="P200" s="254"/>
      <c r="Q200" s="254"/>
      <c r="R200" s="254"/>
      <c r="T200" s="254"/>
      <c r="U200" s="254"/>
    </row>
    <row r="201" spans="1:21" ht="15">
      <c r="A201" s="253"/>
      <c r="B201" s="253"/>
      <c r="C201" s="253"/>
      <c r="D201" s="253"/>
      <c r="E201" s="115"/>
      <c r="F201" s="275"/>
      <c r="G201" s="275"/>
      <c r="H201" s="275"/>
      <c r="I201" s="115"/>
      <c r="J201" s="115"/>
      <c r="K201" s="276"/>
      <c r="L201" s="115"/>
      <c r="M201" s="115"/>
      <c r="N201" s="115"/>
      <c r="O201" s="115"/>
      <c r="P201" s="254"/>
      <c r="Q201" s="254"/>
      <c r="R201" s="254"/>
      <c r="T201" s="254"/>
      <c r="U201" s="254"/>
    </row>
    <row r="202" spans="1:21" ht="15">
      <c r="A202" s="253"/>
      <c r="B202" s="253"/>
      <c r="C202" s="253"/>
      <c r="D202" s="253"/>
      <c r="E202" s="115"/>
      <c r="F202" s="275"/>
      <c r="G202" s="275"/>
      <c r="H202" s="275"/>
      <c r="I202" s="115"/>
      <c r="J202" s="115"/>
      <c r="K202" s="276"/>
      <c r="L202" s="115"/>
      <c r="M202" s="115"/>
      <c r="N202" s="115"/>
      <c r="O202" s="115"/>
      <c r="P202" s="254"/>
      <c r="Q202" s="254"/>
      <c r="R202" s="254"/>
      <c r="T202" s="254"/>
      <c r="U202" s="254"/>
    </row>
    <row r="203" spans="1:21" ht="15">
      <c r="A203" s="253"/>
      <c r="B203" s="253"/>
      <c r="C203" s="253"/>
      <c r="D203" s="253"/>
      <c r="E203" s="115"/>
      <c r="F203" s="275"/>
      <c r="G203" s="275"/>
      <c r="H203" s="275"/>
      <c r="I203" s="115"/>
      <c r="J203" s="115"/>
      <c r="K203" s="276"/>
      <c r="L203" s="115"/>
      <c r="M203" s="115"/>
      <c r="N203" s="115"/>
      <c r="O203" s="115"/>
      <c r="P203" s="254"/>
      <c r="Q203" s="254"/>
      <c r="R203" s="254"/>
      <c r="T203" s="254"/>
      <c r="U203" s="254"/>
    </row>
    <row r="204" spans="1:21" ht="15">
      <c r="A204" s="253"/>
      <c r="B204" s="253"/>
      <c r="C204" s="253"/>
      <c r="D204" s="253"/>
      <c r="E204" s="115"/>
      <c r="F204" s="275"/>
      <c r="G204" s="275"/>
      <c r="H204" s="275"/>
      <c r="I204" s="115"/>
      <c r="J204" s="115"/>
      <c r="K204" s="276"/>
      <c r="L204" s="115"/>
      <c r="M204" s="115"/>
      <c r="N204" s="115"/>
      <c r="O204" s="115"/>
      <c r="P204" s="254"/>
      <c r="Q204" s="254"/>
      <c r="R204" s="254"/>
      <c r="T204" s="254"/>
      <c r="U204" s="254"/>
    </row>
    <row r="205" spans="1:21" ht="15">
      <c r="A205" s="253"/>
      <c r="B205" s="253"/>
      <c r="C205" s="253"/>
      <c r="D205" s="253"/>
      <c r="E205" s="115"/>
      <c r="F205" s="275"/>
      <c r="G205" s="275"/>
      <c r="H205" s="275"/>
      <c r="I205" s="115"/>
      <c r="J205" s="115"/>
      <c r="K205" s="276"/>
      <c r="L205" s="115"/>
      <c r="M205" s="115"/>
      <c r="N205" s="115"/>
      <c r="O205" s="115"/>
      <c r="P205" s="254"/>
      <c r="Q205" s="254"/>
      <c r="R205" s="254"/>
      <c r="T205" s="254"/>
      <c r="U205" s="254"/>
    </row>
    <row r="206" spans="1:21" ht="15">
      <c r="A206" s="253"/>
      <c r="B206" s="253"/>
      <c r="C206" s="253"/>
      <c r="D206" s="253"/>
      <c r="E206" s="115"/>
      <c r="F206" s="275"/>
      <c r="G206" s="275"/>
      <c r="H206" s="275"/>
      <c r="I206" s="115"/>
      <c r="J206" s="115"/>
      <c r="K206" s="276"/>
      <c r="L206" s="115"/>
      <c r="M206" s="115"/>
      <c r="N206" s="115"/>
      <c r="O206" s="115"/>
      <c r="P206" s="254"/>
      <c r="Q206" s="254"/>
      <c r="R206" s="254"/>
      <c r="T206" s="254"/>
      <c r="U206" s="254"/>
    </row>
    <row r="207" spans="1:21" ht="15">
      <c r="A207" s="253"/>
      <c r="B207" s="253"/>
      <c r="C207" s="253"/>
      <c r="D207" s="253"/>
      <c r="E207" s="115"/>
      <c r="F207" s="275"/>
      <c r="G207" s="275"/>
      <c r="H207" s="275"/>
      <c r="I207" s="115"/>
      <c r="J207" s="115"/>
      <c r="K207" s="276"/>
      <c r="L207" s="115"/>
      <c r="M207" s="115"/>
      <c r="N207" s="115"/>
      <c r="O207" s="115"/>
      <c r="P207" s="254"/>
      <c r="Q207" s="254"/>
      <c r="R207" s="254"/>
      <c r="T207" s="254"/>
      <c r="U207" s="254"/>
    </row>
    <row r="208" spans="1:21" ht="15">
      <c r="A208" s="253"/>
      <c r="B208" s="253"/>
      <c r="C208" s="253"/>
      <c r="D208" s="253"/>
      <c r="E208" s="115"/>
      <c r="F208" s="275"/>
      <c r="G208" s="275"/>
      <c r="H208" s="275"/>
      <c r="I208" s="115"/>
      <c r="J208" s="115"/>
      <c r="K208" s="276"/>
      <c r="L208" s="115"/>
      <c r="M208" s="115"/>
      <c r="N208" s="115"/>
      <c r="O208" s="115"/>
      <c r="P208" s="254"/>
      <c r="Q208" s="254"/>
      <c r="R208" s="254"/>
      <c r="T208" s="254"/>
      <c r="U208" s="254"/>
    </row>
    <row r="209" spans="1:21" ht="15">
      <c r="A209" s="253"/>
      <c r="B209" s="253"/>
      <c r="C209" s="253"/>
      <c r="D209" s="253"/>
      <c r="E209" s="115"/>
      <c r="F209" s="275"/>
      <c r="G209" s="275"/>
      <c r="H209" s="275"/>
      <c r="I209" s="115"/>
      <c r="J209" s="115"/>
      <c r="K209" s="276"/>
      <c r="L209" s="115"/>
      <c r="M209" s="115"/>
      <c r="N209" s="115"/>
      <c r="O209" s="115"/>
      <c r="P209" s="254"/>
      <c r="Q209" s="254"/>
      <c r="R209" s="254"/>
      <c r="T209" s="254"/>
      <c r="U209" s="254"/>
    </row>
    <row r="210" spans="1:21" ht="15">
      <c r="A210" s="253"/>
      <c r="B210" s="253"/>
      <c r="C210" s="253"/>
      <c r="D210" s="253"/>
      <c r="E210" s="115"/>
      <c r="F210" s="275"/>
      <c r="G210" s="275"/>
      <c r="H210" s="275"/>
      <c r="I210" s="115"/>
      <c r="J210" s="115"/>
      <c r="K210" s="276"/>
      <c r="L210" s="115"/>
      <c r="M210" s="115"/>
      <c r="N210" s="115"/>
      <c r="O210" s="115"/>
      <c r="P210" s="254"/>
      <c r="Q210" s="254"/>
      <c r="R210" s="254"/>
      <c r="T210" s="254"/>
      <c r="U210" s="254"/>
    </row>
    <row r="211" spans="1:21" ht="15">
      <c r="A211" s="253"/>
      <c r="B211" s="253"/>
      <c r="C211" s="253"/>
      <c r="D211" s="253"/>
      <c r="E211" s="115"/>
      <c r="F211" s="275"/>
      <c r="G211" s="275"/>
      <c r="H211" s="275"/>
      <c r="I211" s="115"/>
      <c r="J211" s="115"/>
      <c r="K211" s="276"/>
      <c r="L211" s="115"/>
      <c r="M211" s="115"/>
      <c r="N211" s="115"/>
      <c r="O211" s="115"/>
      <c r="P211" s="254"/>
      <c r="Q211" s="254"/>
      <c r="R211" s="254"/>
      <c r="T211" s="254"/>
      <c r="U211" s="254"/>
    </row>
    <row r="212" spans="1:21" ht="15">
      <c r="A212" s="253"/>
      <c r="B212" s="253"/>
      <c r="C212" s="253"/>
      <c r="D212" s="253"/>
      <c r="E212" s="115"/>
      <c r="F212" s="275"/>
      <c r="G212" s="275"/>
      <c r="H212" s="275"/>
      <c r="I212" s="115"/>
      <c r="J212" s="115"/>
      <c r="K212" s="276"/>
      <c r="L212" s="115"/>
      <c r="M212" s="115"/>
      <c r="N212" s="115"/>
      <c r="O212" s="115"/>
      <c r="P212" s="254"/>
      <c r="Q212" s="254"/>
      <c r="R212" s="254"/>
      <c r="T212" s="254"/>
      <c r="U212" s="254"/>
    </row>
    <row r="213" spans="1:21" ht="15">
      <c r="A213" s="253"/>
      <c r="B213" s="253"/>
      <c r="C213" s="253"/>
      <c r="D213" s="253"/>
      <c r="E213" s="115"/>
      <c r="F213" s="275"/>
      <c r="G213" s="275"/>
      <c r="H213" s="275"/>
      <c r="I213" s="115"/>
      <c r="J213" s="115"/>
      <c r="K213" s="276"/>
      <c r="L213" s="115"/>
      <c r="M213" s="115"/>
      <c r="N213" s="115"/>
      <c r="O213" s="115"/>
      <c r="P213" s="254"/>
      <c r="Q213" s="254"/>
      <c r="R213" s="254"/>
      <c r="T213" s="254"/>
      <c r="U213" s="254"/>
    </row>
    <row r="214" spans="1:21" ht="15">
      <c r="A214" s="253"/>
      <c r="B214" s="253"/>
      <c r="C214" s="253"/>
      <c r="D214" s="253"/>
      <c r="E214" s="115"/>
      <c r="F214" s="275"/>
      <c r="G214" s="275"/>
      <c r="H214" s="275"/>
      <c r="I214" s="115"/>
      <c r="J214" s="115"/>
      <c r="K214" s="276"/>
      <c r="L214" s="115"/>
      <c r="M214" s="115"/>
      <c r="N214" s="115"/>
      <c r="O214" s="115"/>
      <c r="P214" s="254"/>
      <c r="Q214" s="254"/>
      <c r="R214" s="254"/>
      <c r="T214" s="254"/>
      <c r="U214" s="254"/>
    </row>
    <row r="215" spans="1:21" ht="15">
      <c r="A215" s="253"/>
      <c r="B215" s="253"/>
      <c r="C215" s="253"/>
      <c r="D215" s="253"/>
      <c r="E215" s="115"/>
      <c r="F215" s="275"/>
      <c r="G215" s="275"/>
      <c r="H215" s="275"/>
      <c r="I215" s="115"/>
      <c r="J215" s="115"/>
      <c r="K215" s="276"/>
      <c r="L215" s="115"/>
      <c r="M215" s="115"/>
      <c r="N215" s="115"/>
      <c r="O215" s="115"/>
      <c r="P215" s="254"/>
      <c r="Q215" s="254"/>
      <c r="R215" s="254"/>
      <c r="T215" s="254"/>
      <c r="U215" s="254"/>
    </row>
    <row r="216" spans="1:21" ht="15">
      <c r="A216" s="253"/>
      <c r="B216" s="253"/>
      <c r="C216" s="253"/>
      <c r="D216" s="253"/>
      <c r="E216" s="115"/>
      <c r="F216" s="275"/>
      <c r="G216" s="275"/>
      <c r="H216" s="275"/>
      <c r="I216" s="115"/>
      <c r="J216" s="115"/>
      <c r="K216" s="276"/>
      <c r="L216" s="115"/>
      <c r="M216" s="115"/>
      <c r="N216" s="115"/>
      <c r="O216" s="115"/>
      <c r="P216" s="254"/>
      <c r="Q216" s="254"/>
      <c r="R216" s="254"/>
      <c r="T216" s="254"/>
      <c r="U216" s="254"/>
    </row>
    <row r="217" spans="1:21" ht="15">
      <c r="A217" s="253"/>
      <c r="B217" s="253"/>
      <c r="C217" s="253"/>
      <c r="D217" s="253"/>
      <c r="E217" s="115"/>
      <c r="F217" s="275"/>
      <c r="G217" s="275"/>
      <c r="H217" s="275"/>
      <c r="I217" s="115"/>
      <c r="J217" s="115"/>
      <c r="K217" s="276"/>
      <c r="L217" s="115"/>
      <c r="M217" s="115"/>
      <c r="N217" s="115"/>
      <c r="O217" s="115"/>
      <c r="P217" s="254"/>
      <c r="Q217" s="254"/>
      <c r="R217" s="254"/>
      <c r="T217" s="254"/>
      <c r="U217" s="254"/>
    </row>
    <row r="218" spans="1:21" ht="15">
      <c r="A218" s="253"/>
      <c r="B218" s="253"/>
      <c r="C218" s="253"/>
      <c r="D218" s="253"/>
      <c r="E218" s="115"/>
      <c r="F218" s="275"/>
      <c r="G218" s="275"/>
      <c r="H218" s="275"/>
      <c r="I218" s="115"/>
      <c r="J218" s="115"/>
      <c r="K218" s="276"/>
      <c r="L218" s="115"/>
      <c r="M218" s="115"/>
      <c r="N218" s="115"/>
      <c r="O218" s="115"/>
      <c r="P218" s="254"/>
      <c r="Q218" s="254"/>
      <c r="R218" s="254"/>
      <c r="T218" s="254"/>
      <c r="U218" s="254"/>
    </row>
    <row r="219" spans="1:21" ht="15">
      <c r="A219" s="253"/>
      <c r="B219" s="253"/>
      <c r="C219" s="253"/>
      <c r="D219" s="253"/>
      <c r="E219" s="115"/>
      <c r="F219" s="275"/>
      <c r="G219" s="275"/>
      <c r="H219" s="275"/>
      <c r="I219" s="115"/>
      <c r="J219" s="115"/>
      <c r="K219" s="276"/>
      <c r="L219" s="115"/>
      <c r="M219" s="115"/>
      <c r="N219" s="115"/>
      <c r="O219" s="115"/>
      <c r="P219" s="254"/>
      <c r="Q219" s="254"/>
      <c r="R219" s="254"/>
      <c r="T219" s="254"/>
      <c r="U219" s="254"/>
    </row>
    <row r="220" spans="1:21" ht="15">
      <c r="A220" s="253"/>
      <c r="B220" s="253"/>
      <c r="C220" s="253"/>
      <c r="D220" s="253"/>
      <c r="E220" s="115"/>
      <c r="F220" s="275"/>
      <c r="G220" s="275"/>
      <c r="H220" s="275"/>
      <c r="I220" s="115"/>
      <c r="J220" s="115"/>
      <c r="K220" s="276"/>
      <c r="L220" s="115"/>
      <c r="M220" s="115"/>
      <c r="N220" s="115"/>
      <c r="O220" s="115"/>
      <c r="P220" s="254"/>
      <c r="Q220" s="254"/>
      <c r="R220" s="254"/>
      <c r="T220" s="254"/>
      <c r="U220" s="254"/>
    </row>
    <row r="221" spans="1:21" ht="15">
      <c r="A221" s="253"/>
      <c r="B221" s="253"/>
      <c r="C221" s="253"/>
      <c r="D221" s="253"/>
      <c r="E221" s="115"/>
      <c r="F221" s="275"/>
      <c r="G221" s="275"/>
      <c r="H221" s="275"/>
      <c r="I221" s="115"/>
      <c r="J221" s="115"/>
      <c r="K221" s="276"/>
      <c r="L221" s="115"/>
      <c r="M221" s="115"/>
      <c r="N221" s="115"/>
      <c r="O221" s="115"/>
      <c r="P221" s="254"/>
      <c r="Q221" s="254"/>
      <c r="R221" s="254"/>
      <c r="T221" s="254"/>
      <c r="U221" s="254"/>
    </row>
    <row r="222" spans="1:21" ht="15">
      <c r="A222" s="253"/>
      <c r="B222" s="253"/>
      <c r="C222" s="253"/>
      <c r="D222" s="253"/>
      <c r="E222" s="115"/>
      <c r="F222" s="275"/>
      <c r="G222" s="275"/>
      <c r="H222" s="275"/>
      <c r="I222" s="115"/>
      <c r="J222" s="115"/>
      <c r="K222" s="276"/>
      <c r="L222" s="115"/>
      <c r="M222" s="115"/>
      <c r="N222" s="115"/>
      <c r="O222" s="115"/>
      <c r="P222" s="254"/>
      <c r="Q222" s="254"/>
      <c r="R222" s="254"/>
      <c r="T222" s="254"/>
      <c r="U222" s="254"/>
    </row>
    <row r="223" spans="1:21" ht="15">
      <c r="A223" s="253"/>
      <c r="B223" s="253"/>
      <c r="C223" s="253"/>
      <c r="D223" s="253"/>
      <c r="E223" s="115"/>
      <c r="F223" s="275"/>
      <c r="G223" s="275"/>
      <c r="H223" s="275"/>
      <c r="I223" s="115"/>
      <c r="J223" s="115"/>
      <c r="K223" s="276"/>
      <c r="L223" s="115"/>
      <c r="M223" s="115"/>
      <c r="N223" s="115"/>
      <c r="O223" s="115"/>
      <c r="P223" s="254"/>
      <c r="Q223" s="254"/>
      <c r="R223" s="254"/>
      <c r="T223" s="254"/>
      <c r="U223" s="254"/>
    </row>
    <row r="224" spans="1:21" ht="15">
      <c r="A224" s="253"/>
      <c r="B224" s="253"/>
      <c r="C224" s="253"/>
      <c r="D224" s="253"/>
      <c r="E224" s="115"/>
      <c r="F224" s="275"/>
      <c r="G224" s="275"/>
      <c r="H224" s="275"/>
      <c r="I224" s="115"/>
      <c r="J224" s="115"/>
      <c r="K224" s="276"/>
      <c r="L224" s="115"/>
      <c r="M224" s="115"/>
      <c r="N224" s="115"/>
      <c r="O224" s="115"/>
      <c r="P224" s="254"/>
      <c r="Q224" s="254"/>
      <c r="R224" s="254"/>
      <c r="T224" s="254"/>
      <c r="U224" s="254"/>
    </row>
    <row r="225" spans="1:21" ht="15">
      <c r="A225" s="253"/>
      <c r="B225" s="253"/>
      <c r="C225" s="253"/>
      <c r="D225" s="253"/>
      <c r="E225" s="115"/>
      <c r="F225" s="275"/>
      <c r="G225" s="275"/>
      <c r="H225" s="275"/>
      <c r="I225" s="115"/>
      <c r="J225" s="115"/>
      <c r="K225" s="276"/>
      <c r="L225" s="115"/>
      <c r="M225" s="115"/>
      <c r="N225" s="115"/>
      <c r="O225" s="115"/>
      <c r="P225" s="254"/>
      <c r="Q225" s="254"/>
      <c r="R225" s="254"/>
      <c r="T225" s="254"/>
      <c r="U225" s="254"/>
    </row>
    <row r="226" spans="1:21" ht="15">
      <c r="A226" s="253"/>
      <c r="B226" s="253"/>
      <c r="C226" s="253"/>
      <c r="D226" s="253"/>
      <c r="E226" s="115"/>
      <c r="F226" s="275"/>
      <c r="G226" s="275"/>
      <c r="H226" s="275"/>
      <c r="I226" s="115"/>
      <c r="J226" s="115"/>
      <c r="K226" s="276"/>
      <c r="L226" s="115"/>
      <c r="M226" s="115"/>
      <c r="N226" s="115"/>
      <c r="O226" s="115"/>
      <c r="P226" s="254"/>
      <c r="Q226" s="254"/>
      <c r="R226" s="254"/>
      <c r="T226" s="254"/>
      <c r="U226" s="254"/>
    </row>
    <row r="227" spans="1:21" ht="15">
      <c r="A227" s="253"/>
      <c r="B227" s="253"/>
      <c r="C227" s="253"/>
      <c r="D227" s="253"/>
      <c r="E227" s="115"/>
      <c r="F227" s="275"/>
      <c r="G227" s="275"/>
      <c r="H227" s="275"/>
      <c r="I227" s="115"/>
      <c r="J227" s="115"/>
      <c r="K227" s="276"/>
      <c r="L227" s="115"/>
      <c r="M227" s="115"/>
      <c r="N227" s="115"/>
      <c r="O227" s="115"/>
      <c r="P227" s="254"/>
      <c r="Q227" s="254"/>
      <c r="R227" s="254"/>
      <c r="T227" s="254"/>
      <c r="U227" s="254"/>
    </row>
    <row r="228" spans="1:21" ht="15">
      <c r="A228" s="253"/>
      <c r="B228" s="253"/>
      <c r="C228" s="253"/>
      <c r="D228" s="253"/>
      <c r="E228" s="115"/>
      <c r="F228" s="275"/>
      <c r="G228" s="275"/>
      <c r="H228" s="275"/>
      <c r="I228" s="115"/>
      <c r="J228" s="115"/>
      <c r="K228" s="276"/>
      <c r="L228" s="115"/>
      <c r="M228" s="115"/>
      <c r="N228" s="115"/>
      <c r="O228" s="115"/>
      <c r="P228" s="254"/>
      <c r="Q228" s="254"/>
      <c r="R228" s="254"/>
      <c r="T228" s="254"/>
      <c r="U228" s="254"/>
    </row>
    <row r="229" spans="1:21" ht="15">
      <c r="A229" s="253"/>
      <c r="B229" s="253"/>
      <c r="C229" s="253"/>
      <c r="D229" s="253"/>
      <c r="E229" s="115"/>
      <c r="F229" s="275"/>
      <c r="G229" s="275"/>
      <c r="H229" s="275"/>
      <c r="I229" s="115"/>
      <c r="J229" s="115"/>
      <c r="K229" s="276"/>
      <c r="L229" s="115"/>
      <c r="M229" s="115"/>
      <c r="N229" s="115"/>
      <c r="O229" s="115"/>
      <c r="P229" s="254"/>
      <c r="Q229" s="254"/>
      <c r="R229" s="254"/>
      <c r="T229" s="254"/>
      <c r="U229" s="254"/>
    </row>
    <row r="230" spans="1:21" ht="15">
      <c r="A230" s="253"/>
      <c r="B230" s="253"/>
      <c r="C230" s="253"/>
      <c r="D230" s="253"/>
      <c r="E230" s="115"/>
      <c r="F230" s="275"/>
      <c r="G230" s="275"/>
      <c r="H230" s="275"/>
      <c r="I230" s="115"/>
      <c r="J230" s="115"/>
      <c r="K230" s="276"/>
      <c r="L230" s="115"/>
      <c r="M230" s="115"/>
      <c r="N230" s="115"/>
      <c r="O230" s="115"/>
      <c r="P230" s="254"/>
      <c r="Q230" s="254"/>
      <c r="R230" s="254"/>
      <c r="T230" s="254"/>
      <c r="U230" s="254"/>
    </row>
    <row r="231" spans="1:21" ht="15">
      <c r="A231" s="253"/>
      <c r="B231" s="253"/>
      <c r="C231" s="253"/>
      <c r="D231" s="253"/>
      <c r="E231" s="115"/>
      <c r="F231" s="275"/>
      <c r="G231" s="275"/>
      <c r="H231" s="275"/>
      <c r="I231" s="115"/>
      <c r="J231" s="115"/>
      <c r="K231" s="276"/>
      <c r="L231" s="115"/>
      <c r="M231" s="115"/>
      <c r="N231" s="115"/>
      <c r="O231" s="115"/>
      <c r="P231" s="254"/>
      <c r="Q231" s="254"/>
      <c r="R231" s="254"/>
      <c r="T231" s="254"/>
      <c r="U231" s="254"/>
    </row>
    <row r="232" spans="1:21" ht="15">
      <c r="A232" s="253"/>
      <c r="B232" s="253"/>
      <c r="C232" s="253"/>
      <c r="D232" s="253"/>
      <c r="E232" s="115"/>
      <c r="F232" s="275"/>
      <c r="G232" s="275"/>
      <c r="H232" s="275"/>
      <c r="I232" s="115"/>
      <c r="J232" s="115"/>
      <c r="K232" s="276"/>
      <c r="L232" s="115"/>
      <c r="M232" s="115"/>
      <c r="N232" s="115"/>
      <c r="O232" s="115"/>
      <c r="P232" s="254"/>
      <c r="Q232" s="254"/>
      <c r="R232" s="254"/>
      <c r="T232" s="254"/>
      <c r="U232" s="254"/>
    </row>
    <row r="233" spans="1:21" ht="15">
      <c r="A233" s="253"/>
      <c r="B233" s="253"/>
      <c r="C233" s="253"/>
      <c r="D233" s="253"/>
      <c r="E233" s="115"/>
      <c r="F233" s="275"/>
      <c r="G233" s="275"/>
      <c r="H233" s="275"/>
      <c r="I233" s="115"/>
      <c r="J233" s="115"/>
      <c r="K233" s="276"/>
      <c r="L233" s="115"/>
      <c r="M233" s="115"/>
      <c r="N233" s="115"/>
      <c r="O233" s="115"/>
      <c r="P233" s="254"/>
      <c r="Q233" s="254"/>
      <c r="R233" s="254"/>
      <c r="T233" s="254"/>
      <c r="U233" s="254"/>
    </row>
    <row r="234" spans="1:21" ht="15">
      <c r="A234" s="253"/>
      <c r="B234" s="253"/>
      <c r="C234" s="253"/>
      <c r="D234" s="253"/>
      <c r="E234" s="115"/>
      <c r="F234" s="275"/>
      <c r="G234" s="275"/>
      <c r="H234" s="275"/>
      <c r="I234" s="115"/>
      <c r="J234" s="115"/>
      <c r="K234" s="276"/>
      <c r="L234" s="115"/>
      <c r="M234" s="115"/>
      <c r="N234" s="115"/>
      <c r="O234" s="115"/>
      <c r="P234" s="254"/>
      <c r="Q234" s="254"/>
      <c r="R234" s="254"/>
      <c r="T234" s="254"/>
      <c r="U234" s="254"/>
    </row>
    <row r="235" spans="1:21" ht="15">
      <c r="A235" s="253"/>
      <c r="B235" s="253"/>
      <c r="C235" s="253"/>
      <c r="D235" s="253"/>
      <c r="E235" s="115"/>
      <c r="F235" s="275"/>
      <c r="G235" s="275"/>
      <c r="H235" s="275"/>
      <c r="I235" s="115"/>
      <c r="J235" s="115"/>
      <c r="K235" s="276"/>
      <c r="L235" s="115"/>
      <c r="M235" s="115"/>
      <c r="N235" s="115"/>
      <c r="O235" s="115"/>
      <c r="P235" s="254"/>
      <c r="Q235" s="254"/>
      <c r="R235" s="254"/>
      <c r="T235" s="254"/>
      <c r="U235" s="254"/>
    </row>
    <row r="236" spans="1:21" ht="15">
      <c r="A236" s="253"/>
      <c r="B236" s="253"/>
      <c r="C236" s="253"/>
      <c r="D236" s="253"/>
      <c r="E236" s="115"/>
      <c r="F236" s="275"/>
      <c r="G236" s="275"/>
      <c r="H236" s="275"/>
      <c r="I236" s="115"/>
      <c r="J236" s="115"/>
      <c r="K236" s="276"/>
      <c r="L236" s="115"/>
      <c r="M236" s="115"/>
      <c r="N236" s="115"/>
      <c r="O236" s="115"/>
      <c r="P236" s="254"/>
      <c r="Q236" s="254"/>
      <c r="R236" s="254"/>
      <c r="T236" s="254"/>
      <c r="U236" s="254"/>
    </row>
    <row r="237" spans="1:21" ht="15">
      <c r="A237" s="253"/>
      <c r="B237" s="253"/>
      <c r="C237" s="253"/>
      <c r="D237" s="253"/>
      <c r="E237" s="115"/>
      <c r="F237" s="275"/>
      <c r="G237" s="275"/>
      <c r="H237" s="275"/>
      <c r="I237" s="115"/>
      <c r="J237" s="115"/>
      <c r="K237" s="276"/>
      <c r="L237" s="115"/>
      <c r="M237" s="115"/>
      <c r="N237" s="115"/>
      <c r="O237" s="115"/>
      <c r="P237" s="254"/>
      <c r="Q237" s="254"/>
      <c r="R237" s="254"/>
      <c r="T237" s="254"/>
      <c r="U237" s="254"/>
    </row>
    <row r="238" spans="1:21" ht="15">
      <c r="A238" s="253"/>
      <c r="B238" s="253"/>
      <c r="C238" s="253"/>
      <c r="D238" s="253"/>
      <c r="E238" s="115"/>
      <c r="F238" s="275"/>
      <c r="G238" s="275"/>
      <c r="H238" s="275"/>
      <c r="I238" s="115"/>
      <c r="J238" s="115"/>
      <c r="K238" s="276"/>
      <c r="L238" s="115"/>
      <c r="M238" s="115"/>
      <c r="N238" s="115"/>
      <c r="O238" s="115"/>
      <c r="P238" s="254"/>
      <c r="Q238" s="254"/>
      <c r="R238" s="254"/>
      <c r="T238" s="254"/>
      <c r="U238" s="254"/>
    </row>
    <row r="239" spans="1:21" ht="15">
      <c r="A239" s="253"/>
      <c r="B239" s="253"/>
      <c r="C239" s="253"/>
      <c r="D239" s="253"/>
      <c r="E239" s="115"/>
      <c r="F239" s="275"/>
      <c r="G239" s="275"/>
      <c r="H239" s="275"/>
      <c r="I239" s="115"/>
      <c r="J239" s="115"/>
      <c r="K239" s="276"/>
      <c r="L239" s="115"/>
      <c r="M239" s="115"/>
      <c r="N239" s="115"/>
      <c r="O239" s="115"/>
      <c r="P239" s="254"/>
      <c r="Q239" s="254"/>
      <c r="R239" s="254"/>
      <c r="T239" s="254"/>
      <c r="U239" s="254"/>
    </row>
    <row r="240" spans="1:21" ht="15">
      <c r="A240" s="253"/>
      <c r="B240" s="253"/>
      <c r="C240" s="253"/>
      <c r="D240" s="253"/>
      <c r="E240" s="115"/>
      <c r="F240" s="275"/>
      <c r="G240" s="275"/>
      <c r="H240" s="275"/>
      <c r="I240" s="115"/>
      <c r="J240" s="115"/>
      <c r="K240" s="276"/>
      <c r="L240" s="115"/>
      <c r="M240" s="115"/>
      <c r="N240" s="115"/>
      <c r="O240" s="115"/>
      <c r="P240" s="254"/>
      <c r="Q240" s="254"/>
      <c r="R240" s="254"/>
      <c r="T240" s="254"/>
      <c r="U240" s="254"/>
    </row>
    <row r="241" spans="1:21" ht="15">
      <c r="A241" s="253"/>
      <c r="B241" s="253"/>
      <c r="C241" s="253"/>
      <c r="D241" s="253"/>
      <c r="E241" s="115"/>
      <c r="F241" s="275"/>
      <c r="G241" s="275"/>
      <c r="H241" s="275"/>
      <c r="I241" s="115"/>
      <c r="J241" s="115"/>
      <c r="K241" s="276"/>
      <c r="L241" s="115"/>
      <c r="M241" s="115"/>
      <c r="N241" s="115"/>
      <c r="O241" s="115"/>
      <c r="P241" s="254"/>
      <c r="Q241" s="254"/>
      <c r="R241" s="254"/>
      <c r="T241" s="254"/>
      <c r="U241" s="254"/>
    </row>
    <row r="242" spans="1:21" ht="15">
      <c r="A242" s="253"/>
      <c r="B242" s="253"/>
      <c r="C242" s="253"/>
      <c r="D242" s="253"/>
      <c r="E242" s="115"/>
      <c r="F242" s="275"/>
      <c r="G242" s="275"/>
      <c r="H242" s="275"/>
      <c r="I242" s="115"/>
      <c r="J242" s="115"/>
      <c r="K242" s="276"/>
      <c r="L242" s="115"/>
      <c r="M242" s="115"/>
      <c r="N242" s="115"/>
      <c r="O242" s="115"/>
      <c r="P242" s="254"/>
      <c r="Q242" s="254"/>
      <c r="R242" s="254"/>
      <c r="T242" s="254"/>
      <c r="U242" s="254"/>
    </row>
    <row r="243" spans="1:21" ht="15">
      <c r="A243" s="253"/>
      <c r="B243" s="253"/>
      <c r="C243" s="253"/>
      <c r="D243" s="253"/>
      <c r="E243" s="115"/>
      <c r="F243" s="275"/>
      <c r="G243" s="275"/>
      <c r="H243" s="275"/>
      <c r="I243" s="115"/>
      <c r="J243" s="115"/>
      <c r="K243" s="276"/>
      <c r="L243" s="115"/>
      <c r="M243" s="115"/>
      <c r="N243" s="115"/>
      <c r="O243" s="115"/>
      <c r="P243" s="254"/>
      <c r="Q243" s="254"/>
      <c r="R243" s="254"/>
      <c r="T243" s="254"/>
      <c r="U243" s="254"/>
    </row>
    <row r="244" spans="1:21" ht="15">
      <c r="A244" s="253"/>
      <c r="B244" s="253"/>
      <c r="C244" s="253"/>
      <c r="D244" s="253"/>
      <c r="E244" s="115"/>
      <c r="F244" s="275"/>
      <c r="G244" s="275"/>
      <c r="H244" s="275"/>
      <c r="I244" s="115"/>
      <c r="J244" s="115"/>
      <c r="K244" s="276"/>
      <c r="L244" s="115"/>
      <c r="M244" s="115"/>
      <c r="N244" s="115"/>
      <c r="O244" s="115"/>
      <c r="P244" s="254"/>
      <c r="Q244" s="254"/>
      <c r="R244" s="254"/>
      <c r="T244" s="254"/>
      <c r="U244" s="254"/>
    </row>
    <row r="245" spans="1:21" ht="15">
      <c r="A245" s="253"/>
      <c r="B245" s="253"/>
      <c r="C245" s="253"/>
      <c r="D245" s="253"/>
      <c r="E245" s="115"/>
      <c r="F245" s="275"/>
      <c r="G245" s="275"/>
      <c r="H245" s="275"/>
      <c r="I245" s="115"/>
      <c r="J245" s="115"/>
      <c r="K245" s="276"/>
      <c r="L245" s="115"/>
      <c r="M245" s="115"/>
      <c r="N245" s="115"/>
      <c r="O245" s="115"/>
      <c r="P245" s="254"/>
      <c r="Q245" s="254"/>
      <c r="R245" s="254"/>
      <c r="T245" s="254"/>
      <c r="U245" s="254"/>
    </row>
    <row r="246" spans="1:21" ht="15">
      <c r="A246" s="253"/>
      <c r="B246" s="253"/>
      <c r="C246" s="253"/>
      <c r="D246" s="253"/>
      <c r="E246" s="115"/>
      <c r="F246" s="275"/>
      <c r="G246" s="275"/>
      <c r="H246" s="275"/>
      <c r="I246" s="115"/>
      <c r="J246" s="115"/>
      <c r="K246" s="276"/>
      <c r="L246" s="115"/>
      <c r="M246" s="115"/>
      <c r="N246" s="115"/>
      <c r="O246" s="115"/>
      <c r="P246" s="254"/>
      <c r="Q246" s="254"/>
      <c r="R246" s="254"/>
      <c r="T246" s="254"/>
      <c r="U246" s="254"/>
    </row>
    <row r="247" spans="1:21" ht="15">
      <c r="A247" s="253"/>
      <c r="B247" s="253"/>
      <c r="C247" s="253"/>
      <c r="D247" s="253"/>
      <c r="E247" s="115"/>
      <c r="F247" s="275"/>
      <c r="G247" s="275"/>
      <c r="H247" s="275"/>
      <c r="I247" s="115"/>
      <c r="J247" s="115"/>
      <c r="K247" s="276"/>
      <c r="L247" s="115"/>
      <c r="M247" s="115"/>
      <c r="N247" s="115"/>
      <c r="O247" s="115"/>
      <c r="P247" s="254"/>
      <c r="Q247" s="254"/>
      <c r="R247" s="254"/>
      <c r="T247" s="254"/>
      <c r="U247" s="254"/>
    </row>
    <row r="248" spans="1:21" ht="15">
      <c r="A248" s="253"/>
      <c r="B248" s="253"/>
      <c r="C248" s="253"/>
      <c r="D248" s="253"/>
      <c r="E248" s="115"/>
      <c r="F248" s="275"/>
      <c r="G248" s="275"/>
      <c r="H248" s="275"/>
      <c r="I248" s="115"/>
      <c r="J248" s="115"/>
      <c r="K248" s="276"/>
      <c r="L248" s="115"/>
      <c r="M248" s="115"/>
      <c r="N248" s="115"/>
      <c r="O248" s="115"/>
      <c r="P248" s="254"/>
      <c r="Q248" s="254"/>
      <c r="R248" s="254"/>
      <c r="T248" s="254"/>
      <c r="U248" s="254"/>
    </row>
    <row r="249" spans="1:21" ht="15">
      <c r="A249" s="253"/>
      <c r="B249" s="253"/>
      <c r="C249" s="253"/>
      <c r="D249" s="253"/>
      <c r="E249" s="115"/>
      <c r="F249" s="275"/>
      <c r="G249" s="275"/>
      <c r="H249" s="275"/>
      <c r="I249" s="115"/>
      <c r="J249" s="115"/>
      <c r="K249" s="276"/>
      <c r="L249" s="115"/>
      <c r="M249" s="115"/>
      <c r="N249" s="115"/>
      <c r="O249" s="115"/>
      <c r="P249" s="254"/>
      <c r="Q249" s="254"/>
      <c r="R249" s="254"/>
      <c r="T249" s="254"/>
      <c r="U249" s="254"/>
    </row>
    <row r="250" spans="1:21" ht="15">
      <c r="A250" s="253"/>
      <c r="B250" s="253"/>
      <c r="C250" s="253"/>
      <c r="D250" s="253"/>
      <c r="E250" s="115"/>
      <c r="F250" s="275"/>
      <c r="G250" s="275"/>
      <c r="H250" s="275"/>
      <c r="I250" s="115"/>
      <c r="J250" s="115"/>
      <c r="K250" s="276"/>
      <c r="L250" s="115"/>
      <c r="M250" s="115"/>
      <c r="N250" s="115"/>
      <c r="O250" s="115"/>
      <c r="P250" s="254"/>
      <c r="Q250" s="254"/>
      <c r="R250" s="254"/>
      <c r="T250" s="254"/>
      <c r="U250" s="254"/>
    </row>
    <row r="251" spans="1:21" ht="15">
      <c r="A251" s="253"/>
      <c r="B251" s="253"/>
      <c r="C251" s="253"/>
      <c r="D251" s="253"/>
      <c r="E251" s="115"/>
      <c r="F251" s="275"/>
      <c r="G251" s="275"/>
      <c r="H251" s="275"/>
      <c r="I251" s="115"/>
      <c r="J251" s="115"/>
      <c r="K251" s="276"/>
      <c r="L251" s="115"/>
      <c r="M251" s="115"/>
      <c r="N251" s="115"/>
      <c r="O251" s="115"/>
      <c r="P251" s="254"/>
      <c r="Q251" s="254"/>
      <c r="R251" s="254"/>
      <c r="T251" s="254"/>
      <c r="U251" s="254"/>
    </row>
    <row r="252" spans="1:21" ht="15">
      <c r="A252" s="253"/>
      <c r="B252" s="253"/>
      <c r="C252" s="253"/>
      <c r="D252" s="253"/>
      <c r="E252" s="115"/>
      <c r="F252" s="275"/>
      <c r="G252" s="275"/>
      <c r="H252" s="275"/>
      <c r="I252" s="115"/>
      <c r="J252" s="115"/>
      <c r="K252" s="276"/>
      <c r="L252" s="115"/>
      <c r="M252" s="115"/>
      <c r="N252" s="115"/>
      <c r="O252" s="115"/>
      <c r="P252" s="254"/>
      <c r="Q252" s="254"/>
      <c r="R252" s="254"/>
      <c r="T252" s="254"/>
      <c r="U252" s="254"/>
    </row>
    <row r="253" spans="1:21" ht="15">
      <c r="A253" s="253"/>
      <c r="B253" s="253"/>
      <c r="C253" s="253"/>
      <c r="D253" s="253"/>
      <c r="E253" s="115"/>
      <c r="F253" s="275"/>
      <c r="G253" s="275"/>
      <c r="H253" s="275"/>
      <c r="I253" s="115"/>
      <c r="J253" s="115"/>
      <c r="K253" s="276"/>
      <c r="L253" s="115"/>
      <c r="M253" s="115"/>
      <c r="N253" s="115"/>
      <c r="O253" s="115"/>
      <c r="P253" s="254"/>
      <c r="Q253" s="254"/>
      <c r="R253" s="254"/>
      <c r="T253" s="254"/>
      <c r="U253" s="254"/>
    </row>
    <row r="254" spans="1:21" ht="15">
      <c r="A254" s="253"/>
      <c r="B254" s="253"/>
      <c r="C254" s="253"/>
      <c r="D254" s="253"/>
      <c r="E254" s="115"/>
      <c r="F254" s="275"/>
      <c r="G254" s="275"/>
      <c r="H254" s="275"/>
      <c r="I254" s="115"/>
      <c r="J254" s="115"/>
      <c r="K254" s="276"/>
      <c r="L254" s="115"/>
      <c r="M254" s="115"/>
      <c r="N254" s="115"/>
      <c r="O254" s="115"/>
      <c r="P254" s="254"/>
      <c r="Q254" s="254"/>
      <c r="R254" s="254"/>
      <c r="T254" s="254"/>
      <c r="U254" s="254"/>
    </row>
    <row r="255" spans="1:21" ht="15">
      <c r="A255" s="253"/>
      <c r="B255" s="253"/>
      <c r="C255" s="253"/>
      <c r="D255" s="253"/>
      <c r="E255" s="115"/>
      <c r="F255" s="275"/>
      <c r="G255" s="275"/>
      <c r="H255" s="275"/>
      <c r="I255" s="115"/>
      <c r="J255" s="115"/>
      <c r="K255" s="276"/>
      <c r="L255" s="115"/>
      <c r="M255" s="115"/>
      <c r="N255" s="115"/>
      <c r="O255" s="115"/>
      <c r="P255" s="254"/>
      <c r="Q255" s="254"/>
      <c r="R255" s="254"/>
      <c r="T255" s="254"/>
      <c r="U255" s="254"/>
    </row>
    <row r="256" spans="1:21" ht="15">
      <c r="A256" s="253"/>
      <c r="B256" s="253"/>
      <c r="C256" s="253"/>
      <c r="D256" s="253"/>
      <c r="E256" s="115"/>
      <c r="F256" s="275"/>
      <c r="G256" s="275"/>
      <c r="H256" s="275"/>
      <c r="I256" s="115"/>
      <c r="J256" s="115"/>
      <c r="K256" s="276"/>
      <c r="L256" s="115"/>
      <c r="M256" s="115"/>
      <c r="N256" s="115"/>
      <c r="O256" s="115"/>
      <c r="P256" s="254"/>
      <c r="Q256" s="254"/>
      <c r="R256" s="254"/>
      <c r="T256" s="254"/>
      <c r="U256" s="254"/>
    </row>
    <row r="257" spans="1:21" ht="15">
      <c r="A257" s="253"/>
      <c r="B257" s="253"/>
      <c r="C257" s="253"/>
      <c r="D257" s="253"/>
      <c r="E257" s="115"/>
      <c r="F257" s="275"/>
      <c r="G257" s="275"/>
      <c r="H257" s="275"/>
      <c r="I257" s="115"/>
      <c r="J257" s="115"/>
      <c r="K257" s="276"/>
      <c r="L257" s="115"/>
      <c r="M257" s="115"/>
      <c r="N257" s="115"/>
      <c r="O257" s="115"/>
      <c r="P257" s="254"/>
      <c r="Q257" s="254"/>
      <c r="R257" s="254"/>
      <c r="T257" s="254"/>
      <c r="U257" s="254"/>
    </row>
    <row r="258" spans="1:21" ht="15">
      <c r="A258" s="253"/>
      <c r="B258" s="253"/>
      <c r="C258" s="253"/>
      <c r="D258" s="253"/>
      <c r="E258" s="115"/>
      <c r="F258" s="275"/>
      <c r="G258" s="275"/>
      <c r="H258" s="275"/>
      <c r="I258" s="115"/>
      <c r="J258" s="115"/>
      <c r="K258" s="276"/>
      <c r="L258" s="115"/>
      <c r="M258" s="115"/>
      <c r="N258" s="115"/>
      <c r="O258" s="115"/>
      <c r="P258" s="254"/>
      <c r="Q258" s="254"/>
      <c r="R258" s="254"/>
      <c r="T258" s="254"/>
      <c r="U258" s="254"/>
    </row>
    <row r="259" spans="1:21" ht="15">
      <c r="A259" s="253"/>
      <c r="B259" s="253"/>
      <c r="C259" s="253"/>
      <c r="D259" s="253"/>
      <c r="E259" s="115"/>
      <c r="F259" s="275"/>
      <c r="G259" s="275"/>
      <c r="H259" s="275"/>
      <c r="I259" s="115"/>
      <c r="J259" s="115"/>
      <c r="K259" s="276"/>
      <c r="L259" s="115"/>
      <c r="M259" s="115"/>
      <c r="N259" s="115"/>
      <c r="O259" s="115"/>
      <c r="P259" s="254"/>
      <c r="Q259" s="254"/>
      <c r="R259" s="254"/>
      <c r="T259" s="254"/>
      <c r="U259" s="254"/>
    </row>
    <row r="260" spans="1:21" ht="15">
      <c r="A260" s="253"/>
      <c r="B260" s="253"/>
      <c r="C260" s="253"/>
      <c r="D260" s="253"/>
      <c r="E260" s="115"/>
      <c r="F260" s="275"/>
      <c r="G260" s="275"/>
      <c r="H260" s="275"/>
      <c r="I260" s="115"/>
      <c r="J260" s="115"/>
      <c r="K260" s="276"/>
      <c r="L260" s="115"/>
      <c r="M260" s="115"/>
      <c r="N260" s="115"/>
      <c r="O260" s="115"/>
      <c r="P260" s="254"/>
      <c r="Q260" s="254"/>
      <c r="R260" s="254"/>
      <c r="T260" s="254"/>
      <c r="U260" s="254"/>
    </row>
    <row r="261" spans="1:21" ht="15">
      <c r="A261" s="253"/>
      <c r="B261" s="253"/>
      <c r="C261" s="253"/>
      <c r="D261" s="253"/>
      <c r="E261" s="115"/>
      <c r="F261" s="275"/>
      <c r="G261" s="275"/>
      <c r="H261" s="275"/>
      <c r="I261" s="115"/>
      <c r="J261" s="115"/>
      <c r="K261" s="276"/>
      <c r="L261" s="115"/>
      <c r="M261" s="115"/>
      <c r="N261" s="115"/>
      <c r="O261" s="115"/>
      <c r="P261" s="254"/>
      <c r="Q261" s="254"/>
      <c r="R261" s="254"/>
      <c r="T261" s="254"/>
      <c r="U261" s="254"/>
    </row>
    <row r="262" spans="1:21" ht="15">
      <c r="A262" s="253"/>
      <c r="B262" s="253"/>
      <c r="C262" s="253"/>
      <c r="D262" s="253"/>
      <c r="E262" s="115"/>
      <c r="F262" s="275"/>
      <c r="G262" s="275"/>
      <c r="H262" s="275"/>
      <c r="I262" s="115"/>
      <c r="J262" s="115"/>
      <c r="K262" s="276"/>
      <c r="L262" s="115"/>
      <c r="M262" s="115"/>
      <c r="N262" s="115"/>
      <c r="O262" s="115"/>
      <c r="P262" s="254"/>
      <c r="Q262" s="254"/>
      <c r="R262" s="254"/>
      <c r="T262" s="254"/>
      <c r="U262" s="254"/>
    </row>
    <row r="263" spans="1:21" ht="15">
      <c r="A263" s="253"/>
      <c r="B263" s="253"/>
      <c r="C263" s="253"/>
      <c r="D263" s="253"/>
      <c r="E263" s="115"/>
      <c r="F263" s="275"/>
      <c r="G263" s="275"/>
      <c r="H263" s="275"/>
      <c r="I263" s="115"/>
      <c r="J263" s="115"/>
      <c r="K263" s="276"/>
      <c r="L263" s="115"/>
      <c r="M263" s="115"/>
      <c r="N263" s="115"/>
      <c r="O263" s="115"/>
      <c r="P263" s="254"/>
      <c r="Q263" s="254"/>
      <c r="R263" s="254"/>
      <c r="T263" s="254"/>
      <c r="U263" s="254"/>
    </row>
    <row r="264" spans="1:21" ht="15">
      <c r="A264" s="253"/>
      <c r="B264" s="253"/>
      <c r="C264" s="253"/>
      <c r="D264" s="253"/>
      <c r="E264" s="115"/>
      <c r="F264" s="275"/>
      <c r="G264" s="275"/>
      <c r="H264" s="275"/>
      <c r="I264" s="115"/>
      <c r="J264" s="115"/>
      <c r="K264" s="276"/>
      <c r="L264" s="115"/>
      <c r="M264" s="115"/>
      <c r="N264" s="115"/>
      <c r="O264" s="115"/>
      <c r="P264" s="254"/>
      <c r="Q264" s="254"/>
      <c r="R264" s="254"/>
      <c r="T264" s="254"/>
      <c r="U264" s="254"/>
    </row>
    <row r="265" spans="1:21" ht="15">
      <c r="A265" s="253"/>
      <c r="B265" s="253"/>
      <c r="C265" s="253"/>
      <c r="D265" s="253"/>
      <c r="E265" s="115"/>
      <c r="F265" s="275"/>
      <c r="G265" s="275"/>
      <c r="H265" s="275"/>
      <c r="I265" s="115"/>
      <c r="J265" s="115"/>
      <c r="K265" s="276"/>
      <c r="L265" s="115"/>
      <c r="M265" s="115"/>
      <c r="N265" s="115"/>
      <c r="O265" s="115"/>
      <c r="P265" s="254"/>
      <c r="Q265" s="254"/>
      <c r="R265" s="254"/>
      <c r="T265" s="254"/>
      <c r="U265" s="254"/>
    </row>
    <row r="266" spans="1:21" ht="15">
      <c r="A266" s="253"/>
      <c r="B266" s="253"/>
      <c r="C266" s="253"/>
      <c r="D266" s="253"/>
      <c r="E266" s="115"/>
      <c r="F266" s="275"/>
      <c r="G266" s="275"/>
      <c r="H266" s="275"/>
      <c r="I266" s="115"/>
      <c r="J266" s="115"/>
      <c r="K266" s="276"/>
      <c r="L266" s="115"/>
      <c r="M266" s="115"/>
      <c r="N266" s="115"/>
      <c r="O266" s="115"/>
      <c r="P266" s="254"/>
      <c r="Q266" s="254"/>
      <c r="R266" s="254"/>
      <c r="T266" s="254"/>
      <c r="U266" s="254"/>
    </row>
    <row r="267" spans="1:21" ht="15">
      <c r="A267" s="253"/>
      <c r="B267" s="253"/>
      <c r="C267" s="253"/>
      <c r="D267" s="253"/>
      <c r="E267" s="115"/>
      <c r="F267" s="275"/>
      <c r="G267" s="275"/>
      <c r="H267" s="275"/>
      <c r="I267" s="115"/>
      <c r="J267" s="115"/>
      <c r="K267" s="276"/>
      <c r="L267" s="115"/>
      <c r="M267" s="115"/>
      <c r="N267" s="115"/>
      <c r="O267" s="115"/>
      <c r="P267" s="254"/>
      <c r="Q267" s="254"/>
      <c r="R267" s="254"/>
      <c r="T267" s="254"/>
      <c r="U267" s="254"/>
    </row>
    <row r="268" spans="1:21" ht="15">
      <c r="A268" s="253"/>
      <c r="B268" s="253"/>
      <c r="C268" s="253"/>
      <c r="D268" s="253"/>
      <c r="E268" s="115"/>
      <c r="F268" s="275"/>
      <c r="G268" s="275"/>
      <c r="H268" s="275"/>
      <c r="I268" s="115"/>
      <c r="J268" s="115"/>
      <c r="K268" s="276"/>
      <c r="L268" s="115"/>
      <c r="M268" s="115"/>
      <c r="N268" s="115"/>
      <c r="O268" s="115"/>
      <c r="P268" s="254"/>
      <c r="Q268" s="254"/>
      <c r="R268" s="254"/>
      <c r="T268" s="254"/>
      <c r="U268" s="254"/>
    </row>
    <row r="269" spans="1:21" ht="15">
      <c r="A269" s="253"/>
      <c r="B269" s="253"/>
      <c r="C269" s="253"/>
      <c r="D269" s="253"/>
      <c r="E269" s="115"/>
      <c r="F269" s="275"/>
      <c r="G269" s="275"/>
      <c r="H269" s="275"/>
      <c r="I269" s="115"/>
      <c r="J269" s="115"/>
      <c r="K269" s="276"/>
      <c r="L269" s="115"/>
      <c r="M269" s="115"/>
      <c r="N269" s="115"/>
      <c r="O269" s="115"/>
      <c r="P269" s="254"/>
      <c r="Q269" s="254"/>
      <c r="R269" s="254"/>
      <c r="T269" s="254"/>
      <c r="U269" s="254"/>
    </row>
    <row r="270" spans="1:21" ht="15">
      <c r="A270" s="253"/>
      <c r="B270" s="253"/>
      <c r="C270" s="253"/>
      <c r="D270" s="253"/>
      <c r="E270" s="115"/>
      <c r="F270" s="275"/>
      <c r="G270" s="275"/>
      <c r="H270" s="275"/>
      <c r="I270" s="115"/>
      <c r="J270" s="115"/>
      <c r="K270" s="276"/>
      <c r="L270" s="115"/>
      <c r="M270" s="115"/>
      <c r="N270" s="115"/>
      <c r="O270" s="115"/>
      <c r="P270" s="254"/>
      <c r="Q270" s="254"/>
      <c r="R270" s="254"/>
      <c r="T270" s="254"/>
      <c r="U270" s="254"/>
    </row>
    <row r="271" spans="1:21" ht="15">
      <c r="A271" s="253"/>
      <c r="B271" s="253"/>
      <c r="C271" s="253"/>
      <c r="D271" s="253"/>
      <c r="E271" s="115"/>
      <c r="F271" s="275"/>
      <c r="G271" s="275"/>
      <c r="H271" s="275"/>
      <c r="I271" s="115"/>
      <c r="J271" s="115"/>
      <c r="K271" s="276"/>
      <c r="L271" s="115"/>
      <c r="M271" s="115"/>
      <c r="N271" s="115"/>
      <c r="O271" s="115"/>
      <c r="P271" s="254"/>
      <c r="Q271" s="254"/>
      <c r="R271" s="254"/>
      <c r="T271" s="254"/>
      <c r="U271" s="254"/>
    </row>
    <row r="272" spans="1:21" ht="15">
      <c r="A272" s="253"/>
      <c r="B272" s="253"/>
      <c r="C272" s="253"/>
      <c r="D272" s="253"/>
      <c r="E272" s="115"/>
      <c r="F272" s="275"/>
      <c r="G272" s="275"/>
      <c r="H272" s="275"/>
      <c r="I272" s="115"/>
      <c r="J272" s="115"/>
      <c r="K272" s="276"/>
      <c r="L272" s="115"/>
      <c r="M272" s="115"/>
      <c r="N272" s="115"/>
      <c r="O272" s="115"/>
      <c r="P272" s="254"/>
      <c r="Q272" s="254"/>
      <c r="R272" s="254"/>
      <c r="T272" s="254"/>
      <c r="U272" s="254"/>
    </row>
    <row r="273" spans="1:21" ht="15">
      <c r="A273" s="253"/>
      <c r="B273" s="253"/>
      <c r="C273" s="253"/>
      <c r="D273" s="253"/>
      <c r="E273" s="115"/>
      <c r="F273" s="275"/>
      <c r="G273" s="275"/>
      <c r="H273" s="275"/>
      <c r="I273" s="115"/>
      <c r="J273" s="115"/>
      <c r="K273" s="276"/>
      <c r="L273" s="115"/>
      <c r="M273" s="115"/>
      <c r="N273" s="115"/>
      <c r="O273" s="115"/>
      <c r="P273" s="254"/>
      <c r="Q273" s="254"/>
      <c r="R273" s="254"/>
      <c r="T273" s="254"/>
      <c r="U273" s="254"/>
    </row>
    <row r="274" spans="1:21" ht="15">
      <c r="A274" s="253"/>
      <c r="B274" s="253"/>
      <c r="C274" s="253"/>
      <c r="D274" s="253"/>
      <c r="E274" s="115"/>
      <c r="F274" s="275"/>
      <c r="G274" s="275"/>
      <c r="H274" s="275"/>
      <c r="I274" s="115"/>
      <c r="J274" s="115"/>
      <c r="K274" s="276"/>
      <c r="L274" s="115"/>
      <c r="M274" s="115"/>
      <c r="N274" s="115"/>
      <c r="O274" s="115"/>
      <c r="P274" s="254"/>
      <c r="Q274" s="254"/>
      <c r="R274" s="254"/>
      <c r="T274" s="254"/>
      <c r="U274" s="254"/>
    </row>
    <row r="275" spans="1:21" ht="15">
      <c r="A275" s="253"/>
      <c r="B275" s="253"/>
      <c r="C275" s="253"/>
      <c r="D275" s="253"/>
      <c r="E275" s="115"/>
      <c r="F275" s="275"/>
      <c r="G275" s="275"/>
      <c r="H275" s="275"/>
      <c r="I275" s="115"/>
      <c r="J275" s="115"/>
      <c r="K275" s="276"/>
      <c r="L275" s="115"/>
      <c r="M275" s="115"/>
      <c r="N275" s="115"/>
      <c r="O275" s="115"/>
      <c r="P275" s="254"/>
      <c r="Q275" s="254"/>
      <c r="R275" s="254"/>
      <c r="T275" s="254"/>
      <c r="U275" s="254"/>
    </row>
    <row r="276" spans="1:21" ht="15">
      <c r="A276" s="253"/>
      <c r="B276" s="253"/>
      <c r="C276" s="253"/>
      <c r="D276" s="253"/>
      <c r="E276" s="115"/>
      <c r="F276" s="275"/>
      <c r="G276" s="275"/>
      <c r="H276" s="275"/>
      <c r="I276" s="115"/>
      <c r="J276" s="115"/>
      <c r="K276" s="276"/>
      <c r="L276" s="115"/>
      <c r="M276" s="115"/>
      <c r="N276" s="115"/>
      <c r="O276" s="115"/>
      <c r="P276" s="254"/>
      <c r="Q276" s="254"/>
      <c r="R276" s="254"/>
      <c r="T276" s="254"/>
      <c r="U276" s="254"/>
    </row>
    <row r="277" spans="1:21" ht="15">
      <c r="A277" s="253"/>
      <c r="B277" s="253"/>
      <c r="C277" s="253"/>
      <c r="D277" s="253"/>
      <c r="E277" s="115"/>
      <c r="F277" s="275"/>
      <c r="G277" s="275"/>
      <c r="H277" s="275"/>
      <c r="I277" s="115"/>
      <c r="J277" s="115"/>
      <c r="K277" s="276"/>
      <c r="L277" s="115"/>
      <c r="M277" s="115"/>
      <c r="N277" s="115"/>
      <c r="O277" s="115"/>
      <c r="P277" s="254"/>
      <c r="Q277" s="254"/>
      <c r="R277" s="254"/>
      <c r="T277" s="254"/>
      <c r="U277" s="254"/>
    </row>
    <row r="278" spans="1:21" ht="15">
      <c r="A278" s="253"/>
      <c r="B278" s="253"/>
      <c r="C278" s="253"/>
      <c r="D278" s="253"/>
      <c r="E278" s="115"/>
      <c r="F278" s="275"/>
      <c r="G278" s="275"/>
      <c r="H278" s="275"/>
      <c r="I278" s="115"/>
      <c r="J278" s="115"/>
      <c r="K278" s="276"/>
      <c r="L278" s="115"/>
      <c r="M278" s="115"/>
      <c r="N278" s="115"/>
      <c r="O278" s="115"/>
      <c r="P278" s="254"/>
      <c r="Q278" s="254"/>
      <c r="R278" s="254"/>
      <c r="T278" s="254"/>
      <c r="U278" s="254"/>
    </row>
    <row r="279" spans="1:21" ht="15">
      <c r="A279" s="253"/>
      <c r="B279" s="253"/>
      <c r="C279" s="253"/>
      <c r="D279" s="253"/>
      <c r="E279" s="115"/>
      <c r="F279" s="275"/>
      <c r="G279" s="275"/>
      <c r="H279" s="275"/>
      <c r="I279" s="115"/>
      <c r="J279" s="115"/>
      <c r="K279" s="276"/>
      <c r="L279" s="115"/>
      <c r="M279" s="115"/>
      <c r="N279" s="115"/>
      <c r="O279" s="115"/>
      <c r="P279" s="254"/>
      <c r="Q279" s="254"/>
      <c r="R279" s="254"/>
      <c r="T279" s="254"/>
      <c r="U279" s="254"/>
    </row>
    <row r="280" spans="1:21" ht="15">
      <c r="A280" s="253"/>
      <c r="B280" s="253"/>
      <c r="C280" s="253"/>
      <c r="D280" s="253"/>
      <c r="E280" s="115"/>
      <c r="F280" s="275"/>
      <c r="G280" s="275"/>
      <c r="H280" s="275"/>
      <c r="I280" s="115"/>
      <c r="J280" s="115"/>
      <c r="K280" s="276"/>
      <c r="L280" s="115"/>
      <c r="M280" s="115"/>
      <c r="N280" s="115"/>
      <c r="O280" s="115"/>
      <c r="P280" s="254"/>
      <c r="Q280" s="254"/>
      <c r="R280" s="254"/>
      <c r="T280" s="254"/>
      <c r="U280" s="254"/>
    </row>
    <row r="281" spans="1:21" ht="15">
      <c r="A281" s="253"/>
      <c r="B281" s="253"/>
      <c r="C281" s="253"/>
      <c r="D281" s="253"/>
      <c r="E281" s="115"/>
      <c r="F281" s="275"/>
      <c r="G281" s="275"/>
      <c r="H281" s="275"/>
      <c r="I281" s="115"/>
      <c r="J281" s="115"/>
      <c r="K281" s="276"/>
      <c r="L281" s="115"/>
      <c r="M281" s="115"/>
      <c r="N281" s="115"/>
      <c r="O281" s="115"/>
      <c r="P281" s="254"/>
      <c r="Q281" s="254"/>
      <c r="R281" s="254"/>
      <c r="T281" s="254"/>
      <c r="U281" s="254"/>
    </row>
    <row r="282" spans="1:21" ht="15">
      <c r="A282" s="253"/>
      <c r="B282" s="253"/>
      <c r="C282" s="253"/>
      <c r="D282" s="253"/>
      <c r="E282" s="115"/>
      <c r="F282" s="275"/>
      <c r="G282" s="275"/>
      <c r="H282" s="275"/>
      <c r="I282" s="115"/>
      <c r="J282" s="115"/>
      <c r="K282" s="276"/>
      <c r="L282" s="115"/>
      <c r="M282" s="115"/>
      <c r="N282" s="115"/>
      <c r="O282" s="115"/>
      <c r="P282" s="254"/>
      <c r="Q282" s="254"/>
      <c r="R282" s="254"/>
      <c r="T282" s="254"/>
      <c r="U282" s="254"/>
    </row>
    <row r="283" spans="1:21" ht="15">
      <c r="A283" s="253"/>
      <c r="B283" s="253"/>
      <c r="C283" s="253"/>
      <c r="D283" s="253"/>
      <c r="E283" s="115"/>
      <c r="F283" s="275"/>
      <c r="G283" s="275"/>
      <c r="H283" s="275"/>
      <c r="I283" s="115"/>
      <c r="J283" s="115"/>
      <c r="K283" s="276"/>
      <c r="L283" s="115"/>
      <c r="M283" s="115"/>
      <c r="N283" s="115"/>
      <c r="O283" s="115"/>
      <c r="P283" s="254"/>
      <c r="Q283" s="254"/>
      <c r="R283" s="254"/>
      <c r="T283" s="254"/>
      <c r="U283" s="254"/>
    </row>
    <row r="284" spans="1:21" ht="15">
      <c r="A284" s="253"/>
      <c r="B284" s="253"/>
      <c r="C284" s="253"/>
      <c r="D284" s="253"/>
      <c r="E284" s="115"/>
      <c r="F284" s="275"/>
      <c r="G284" s="275"/>
      <c r="H284" s="275"/>
      <c r="I284" s="115"/>
      <c r="J284" s="115"/>
      <c r="K284" s="276"/>
      <c r="L284" s="115"/>
      <c r="M284" s="115"/>
      <c r="N284" s="115"/>
      <c r="O284" s="115"/>
      <c r="P284" s="254"/>
      <c r="Q284" s="254"/>
      <c r="R284" s="254"/>
      <c r="T284" s="254"/>
      <c r="U284" s="254"/>
    </row>
    <row r="285" spans="1:21" ht="15">
      <c r="A285" s="253"/>
      <c r="B285" s="253"/>
      <c r="C285" s="253"/>
      <c r="D285" s="253"/>
      <c r="E285" s="115"/>
      <c r="F285" s="275"/>
      <c r="G285" s="275"/>
      <c r="H285" s="275"/>
      <c r="I285" s="115"/>
      <c r="J285" s="115"/>
      <c r="K285" s="276"/>
      <c r="L285" s="115"/>
      <c r="M285" s="115"/>
      <c r="N285" s="115"/>
      <c r="O285" s="115"/>
      <c r="P285" s="254"/>
      <c r="Q285" s="254"/>
      <c r="R285" s="254"/>
      <c r="T285" s="254"/>
      <c r="U285" s="254"/>
    </row>
    <row r="286" spans="1:21" ht="15">
      <c r="A286" s="253"/>
      <c r="B286" s="253"/>
      <c r="C286" s="253"/>
      <c r="D286" s="253"/>
      <c r="E286" s="115"/>
      <c r="F286" s="275"/>
      <c r="G286" s="275"/>
      <c r="H286" s="275"/>
      <c r="I286" s="115"/>
      <c r="J286" s="115"/>
      <c r="K286" s="276"/>
      <c r="L286" s="115"/>
      <c r="M286" s="115"/>
      <c r="N286" s="115"/>
      <c r="O286" s="115"/>
      <c r="P286" s="254"/>
      <c r="Q286" s="254"/>
      <c r="R286" s="254"/>
      <c r="T286" s="254"/>
      <c r="U286" s="254"/>
    </row>
    <row r="287" spans="1:21" ht="15">
      <c r="A287" s="253"/>
      <c r="B287" s="253"/>
      <c r="C287" s="253"/>
      <c r="D287" s="253"/>
      <c r="E287" s="115"/>
      <c r="F287" s="275"/>
      <c r="G287" s="275"/>
      <c r="H287" s="275"/>
      <c r="I287" s="115"/>
      <c r="J287" s="115"/>
      <c r="K287" s="276"/>
      <c r="L287" s="115"/>
      <c r="M287" s="115"/>
      <c r="N287" s="115"/>
      <c r="O287" s="115"/>
      <c r="P287" s="254"/>
      <c r="Q287" s="254"/>
      <c r="R287" s="254"/>
      <c r="T287" s="254"/>
      <c r="U287" s="254"/>
    </row>
    <row r="288" spans="1:21" ht="15">
      <c r="A288" s="253"/>
      <c r="B288" s="253"/>
      <c r="C288" s="253"/>
      <c r="D288" s="253"/>
      <c r="E288" s="115"/>
      <c r="F288" s="275"/>
      <c r="G288" s="275"/>
      <c r="H288" s="275"/>
      <c r="I288" s="115"/>
      <c r="J288" s="115"/>
      <c r="K288" s="276"/>
      <c r="L288" s="115"/>
      <c r="M288" s="115"/>
      <c r="N288" s="115"/>
      <c r="O288" s="115"/>
      <c r="P288" s="254"/>
      <c r="Q288" s="254"/>
      <c r="R288" s="254"/>
      <c r="T288" s="254"/>
      <c r="U288" s="254"/>
    </row>
    <row r="289" spans="1:21" ht="15">
      <c r="A289" s="253"/>
      <c r="B289" s="253"/>
      <c r="C289" s="253"/>
      <c r="D289" s="253"/>
      <c r="E289" s="115"/>
      <c r="F289" s="275"/>
      <c r="G289" s="275"/>
      <c r="H289" s="275"/>
      <c r="I289" s="115"/>
      <c r="J289" s="115"/>
      <c r="K289" s="276"/>
      <c r="L289" s="115"/>
      <c r="M289" s="115"/>
      <c r="N289" s="115"/>
      <c r="O289" s="115"/>
      <c r="P289" s="254"/>
      <c r="Q289" s="254"/>
      <c r="R289" s="254"/>
      <c r="T289" s="254"/>
      <c r="U289" s="254"/>
    </row>
    <row r="290" spans="1:21" ht="15">
      <c r="A290" s="253"/>
      <c r="B290" s="253"/>
      <c r="C290" s="253"/>
      <c r="D290" s="253"/>
      <c r="E290" s="115"/>
      <c r="F290" s="275"/>
      <c r="G290" s="275"/>
      <c r="H290" s="275"/>
      <c r="I290" s="115"/>
      <c r="J290" s="115"/>
      <c r="K290" s="276"/>
      <c r="L290" s="115"/>
      <c r="M290" s="115"/>
      <c r="N290" s="115"/>
      <c r="O290" s="115"/>
      <c r="P290" s="254"/>
      <c r="Q290" s="254"/>
      <c r="R290" s="254"/>
      <c r="T290" s="254"/>
      <c r="U290" s="254"/>
    </row>
    <row r="291" spans="1:21" ht="15">
      <c r="A291" s="253"/>
      <c r="B291" s="253"/>
      <c r="C291" s="253"/>
      <c r="D291" s="253"/>
      <c r="E291" s="115"/>
      <c r="F291" s="275"/>
      <c r="G291" s="275"/>
      <c r="H291" s="275"/>
      <c r="I291" s="115"/>
      <c r="J291" s="115"/>
      <c r="K291" s="276"/>
      <c r="L291" s="115"/>
      <c r="M291" s="115"/>
      <c r="N291" s="115"/>
      <c r="O291" s="115"/>
      <c r="P291" s="254"/>
      <c r="Q291" s="254"/>
      <c r="R291" s="254"/>
      <c r="T291" s="254"/>
      <c r="U291" s="254"/>
    </row>
    <row r="292" spans="1:21" ht="15">
      <c r="A292" s="253"/>
      <c r="B292" s="253"/>
      <c r="C292" s="253"/>
      <c r="D292" s="253"/>
      <c r="E292" s="115"/>
      <c r="F292" s="275"/>
      <c r="G292" s="275"/>
      <c r="H292" s="275"/>
      <c r="I292" s="115"/>
      <c r="J292" s="115"/>
      <c r="K292" s="276"/>
      <c r="L292" s="115"/>
      <c r="M292" s="115"/>
      <c r="N292" s="115"/>
      <c r="O292" s="115"/>
      <c r="P292" s="254"/>
      <c r="Q292" s="254"/>
      <c r="R292" s="254"/>
      <c r="T292" s="254"/>
      <c r="U292" s="254"/>
    </row>
    <row r="293" spans="1:21" ht="15">
      <c r="A293" s="253"/>
      <c r="B293" s="253"/>
      <c r="C293" s="253"/>
      <c r="D293" s="253"/>
      <c r="E293" s="115"/>
      <c r="F293" s="275"/>
      <c r="G293" s="275"/>
      <c r="H293" s="275"/>
      <c r="I293" s="115"/>
      <c r="J293" s="115"/>
      <c r="K293" s="276"/>
      <c r="L293" s="115"/>
      <c r="M293" s="115"/>
      <c r="N293" s="115"/>
      <c r="O293" s="115"/>
      <c r="P293" s="254"/>
      <c r="Q293" s="254"/>
      <c r="R293" s="254"/>
      <c r="T293" s="254"/>
      <c r="U293" s="254"/>
    </row>
    <row r="294" spans="1:21" ht="15">
      <c r="A294" s="253"/>
      <c r="B294" s="253"/>
      <c r="C294" s="253"/>
      <c r="D294" s="253"/>
      <c r="E294" s="115"/>
      <c r="F294" s="275"/>
      <c r="G294" s="275"/>
      <c r="H294" s="275"/>
      <c r="I294" s="115"/>
      <c r="J294" s="115"/>
      <c r="K294" s="276"/>
      <c r="L294" s="115"/>
      <c r="M294" s="115"/>
      <c r="N294" s="115"/>
      <c r="O294" s="115"/>
      <c r="P294" s="254"/>
      <c r="Q294" s="254"/>
      <c r="R294" s="254"/>
      <c r="T294" s="254"/>
      <c r="U294" s="254"/>
    </row>
    <row r="295" spans="1:21" ht="15">
      <c r="A295" s="253"/>
      <c r="B295" s="253"/>
      <c r="C295" s="253"/>
      <c r="D295" s="253"/>
      <c r="E295" s="115"/>
      <c r="F295" s="275"/>
      <c r="G295" s="275"/>
      <c r="H295" s="275"/>
      <c r="I295" s="115"/>
      <c r="J295" s="115"/>
      <c r="K295" s="276"/>
      <c r="L295" s="115"/>
      <c r="M295" s="115"/>
      <c r="N295" s="115"/>
      <c r="O295" s="115"/>
      <c r="P295" s="254"/>
      <c r="Q295" s="254"/>
      <c r="R295" s="254"/>
      <c r="T295" s="254"/>
      <c r="U295" s="254"/>
    </row>
    <row r="296" spans="1:21" ht="15">
      <c r="A296" s="253"/>
      <c r="B296" s="253"/>
      <c r="C296" s="253"/>
      <c r="D296" s="253"/>
      <c r="E296" s="115"/>
      <c r="F296" s="275"/>
      <c r="G296" s="275"/>
      <c r="H296" s="275"/>
      <c r="I296" s="115"/>
      <c r="J296" s="115"/>
      <c r="K296" s="276"/>
      <c r="L296" s="115"/>
      <c r="M296" s="115"/>
      <c r="N296" s="115"/>
      <c r="O296" s="115"/>
      <c r="P296" s="254"/>
      <c r="Q296" s="254"/>
      <c r="R296" s="254"/>
      <c r="T296" s="254"/>
      <c r="U296" s="254"/>
    </row>
    <row r="297" spans="1:21" ht="15">
      <c r="A297" s="253"/>
      <c r="B297" s="253"/>
      <c r="C297" s="253"/>
      <c r="D297" s="253"/>
      <c r="E297" s="115"/>
      <c r="F297" s="275"/>
      <c r="G297" s="275"/>
      <c r="H297" s="275"/>
      <c r="I297" s="115"/>
      <c r="J297" s="115"/>
      <c r="K297" s="276"/>
      <c r="L297" s="115"/>
      <c r="M297" s="115"/>
      <c r="N297" s="115"/>
      <c r="O297" s="115"/>
      <c r="P297" s="254"/>
      <c r="Q297" s="254"/>
      <c r="R297" s="254"/>
      <c r="T297" s="254"/>
      <c r="U297" s="254"/>
    </row>
    <row r="298" spans="1:21" ht="15">
      <c r="A298" s="253"/>
      <c r="B298" s="253"/>
      <c r="C298" s="253"/>
      <c r="D298" s="253"/>
      <c r="E298" s="115"/>
      <c r="F298" s="275"/>
      <c r="G298" s="275"/>
      <c r="H298" s="275"/>
      <c r="I298" s="115"/>
      <c r="J298" s="115"/>
      <c r="K298" s="276"/>
      <c r="L298" s="115"/>
      <c r="M298" s="115"/>
      <c r="N298" s="115"/>
      <c r="O298" s="115"/>
      <c r="P298" s="254"/>
      <c r="Q298" s="254"/>
      <c r="R298" s="254"/>
      <c r="T298" s="254"/>
      <c r="U298" s="254"/>
    </row>
    <row r="299" spans="1:21" ht="15">
      <c r="A299" s="253"/>
      <c r="B299" s="253"/>
      <c r="C299" s="253"/>
      <c r="D299" s="253"/>
      <c r="E299" s="115"/>
      <c r="F299" s="275"/>
      <c r="G299" s="275"/>
      <c r="H299" s="275"/>
      <c r="I299" s="115"/>
      <c r="J299" s="115"/>
      <c r="K299" s="276"/>
      <c r="L299" s="115"/>
      <c r="M299" s="115"/>
      <c r="N299" s="115"/>
      <c r="O299" s="115"/>
      <c r="P299" s="254"/>
      <c r="Q299" s="254"/>
      <c r="R299" s="254"/>
      <c r="T299" s="254"/>
      <c r="U299" s="254"/>
    </row>
    <row r="300" spans="1:21" ht="15">
      <c r="A300" s="253"/>
      <c r="B300" s="253"/>
      <c r="C300" s="253"/>
      <c r="D300" s="253"/>
      <c r="E300" s="115"/>
      <c r="F300" s="275"/>
      <c r="G300" s="275"/>
      <c r="H300" s="275"/>
      <c r="I300" s="115"/>
      <c r="J300" s="115"/>
      <c r="K300" s="276"/>
      <c r="L300" s="115"/>
      <c r="M300" s="115"/>
      <c r="N300" s="115"/>
      <c r="O300" s="115"/>
      <c r="P300" s="254"/>
      <c r="Q300" s="254"/>
      <c r="R300" s="254"/>
      <c r="T300" s="254"/>
      <c r="U300" s="254"/>
    </row>
    <row r="301" spans="1:21" ht="15">
      <c r="A301" s="253"/>
      <c r="B301" s="253"/>
      <c r="C301" s="253"/>
      <c r="D301" s="253"/>
      <c r="E301" s="115"/>
      <c r="F301" s="275"/>
      <c r="G301" s="275"/>
      <c r="H301" s="275"/>
      <c r="I301" s="115"/>
      <c r="J301" s="115"/>
      <c r="K301" s="276"/>
      <c r="L301" s="115"/>
      <c r="M301" s="115"/>
      <c r="N301" s="115"/>
      <c r="O301" s="115"/>
      <c r="P301" s="254"/>
      <c r="Q301" s="254"/>
      <c r="R301" s="254"/>
      <c r="T301" s="254"/>
      <c r="U301" s="254"/>
    </row>
    <row r="302" spans="1:21" ht="15">
      <c r="A302" s="253"/>
      <c r="B302" s="253"/>
      <c r="C302" s="253"/>
      <c r="D302" s="253"/>
      <c r="E302" s="115"/>
      <c r="F302" s="275"/>
      <c r="G302" s="275"/>
      <c r="H302" s="275"/>
      <c r="I302" s="115"/>
      <c r="J302" s="115"/>
      <c r="K302" s="276"/>
      <c r="L302" s="115"/>
      <c r="M302" s="115"/>
      <c r="N302" s="115"/>
      <c r="O302" s="115"/>
      <c r="P302" s="254"/>
      <c r="Q302" s="254"/>
      <c r="R302" s="254"/>
      <c r="T302" s="254"/>
      <c r="U302" s="254"/>
    </row>
    <row r="303" spans="1:21" ht="15">
      <c r="A303" s="253"/>
      <c r="B303" s="253"/>
      <c r="C303" s="253"/>
      <c r="D303" s="253"/>
      <c r="E303" s="115"/>
      <c r="F303" s="275"/>
      <c r="G303" s="275"/>
      <c r="H303" s="275"/>
      <c r="I303" s="115"/>
      <c r="J303" s="115"/>
      <c r="K303" s="276"/>
      <c r="L303" s="115"/>
      <c r="M303" s="115"/>
      <c r="N303" s="115"/>
      <c r="O303" s="115"/>
      <c r="P303" s="254"/>
      <c r="Q303" s="254"/>
      <c r="R303" s="254"/>
      <c r="T303" s="254"/>
      <c r="U303" s="254"/>
    </row>
    <row r="304" spans="1:21" ht="15">
      <c r="A304" s="253"/>
      <c r="B304" s="253"/>
      <c r="C304" s="253"/>
      <c r="D304" s="253"/>
      <c r="E304" s="115"/>
      <c r="F304" s="275"/>
      <c r="G304" s="275"/>
      <c r="H304" s="275"/>
      <c r="I304" s="115"/>
      <c r="J304" s="115"/>
      <c r="K304" s="276"/>
      <c r="L304" s="115"/>
      <c r="M304" s="115"/>
      <c r="N304" s="115"/>
      <c r="O304" s="115"/>
      <c r="P304" s="254"/>
      <c r="Q304" s="254"/>
      <c r="R304" s="254"/>
      <c r="T304" s="254"/>
      <c r="U304" s="254"/>
    </row>
    <row r="305" spans="1:21" ht="15">
      <c r="A305" s="253"/>
      <c r="B305" s="253"/>
      <c r="C305" s="253"/>
      <c r="D305" s="253"/>
      <c r="E305" s="115"/>
      <c r="F305" s="275"/>
      <c r="G305" s="275"/>
      <c r="H305" s="275"/>
      <c r="I305" s="115"/>
      <c r="J305" s="115"/>
      <c r="K305" s="276"/>
      <c r="L305" s="115"/>
      <c r="M305" s="115"/>
      <c r="N305" s="115"/>
      <c r="O305" s="115"/>
      <c r="P305" s="254"/>
      <c r="Q305" s="254"/>
      <c r="R305" s="254"/>
      <c r="T305" s="254"/>
      <c r="U305" s="254"/>
    </row>
    <row r="306" spans="1:21" ht="15">
      <c r="A306" s="253"/>
      <c r="B306" s="253"/>
      <c r="C306" s="253"/>
      <c r="D306" s="253"/>
      <c r="E306" s="115"/>
      <c r="F306" s="275"/>
      <c r="G306" s="275"/>
      <c r="H306" s="275"/>
      <c r="I306" s="115"/>
      <c r="J306" s="115"/>
      <c r="K306" s="276"/>
      <c r="L306" s="115"/>
      <c r="M306" s="115"/>
      <c r="N306" s="115"/>
      <c r="O306" s="115"/>
      <c r="P306" s="254"/>
      <c r="Q306" s="254"/>
      <c r="R306" s="254"/>
      <c r="T306" s="254"/>
      <c r="U306" s="254"/>
    </row>
    <row r="307" spans="1:21" ht="15">
      <c r="A307" s="253"/>
      <c r="B307" s="253"/>
      <c r="C307" s="253"/>
      <c r="D307" s="253"/>
      <c r="E307" s="115"/>
      <c r="F307" s="275"/>
      <c r="G307" s="275"/>
      <c r="H307" s="275"/>
      <c r="I307" s="115"/>
      <c r="J307" s="115"/>
      <c r="K307" s="276"/>
      <c r="L307" s="115"/>
      <c r="M307" s="115"/>
      <c r="N307" s="115"/>
      <c r="O307" s="115"/>
      <c r="P307" s="254"/>
      <c r="Q307" s="254"/>
      <c r="R307" s="254"/>
      <c r="T307" s="254"/>
      <c r="U307" s="254"/>
    </row>
    <row r="308" spans="1:21" ht="15">
      <c r="A308" s="253"/>
      <c r="B308" s="253"/>
      <c r="C308" s="253"/>
      <c r="D308" s="253"/>
      <c r="E308" s="115"/>
      <c r="F308" s="275"/>
      <c r="G308" s="275"/>
      <c r="H308" s="275"/>
      <c r="I308" s="115"/>
      <c r="J308" s="115"/>
      <c r="K308" s="276"/>
      <c r="L308" s="115"/>
      <c r="M308" s="115"/>
      <c r="N308" s="115"/>
      <c r="O308" s="115"/>
      <c r="P308" s="254"/>
      <c r="Q308" s="254"/>
      <c r="R308" s="254"/>
      <c r="T308" s="254"/>
      <c r="U308" s="254"/>
    </row>
    <row r="309" spans="1:21" ht="15">
      <c r="A309" s="253"/>
      <c r="B309" s="253"/>
      <c r="C309" s="253"/>
      <c r="D309" s="253"/>
      <c r="E309" s="115"/>
      <c r="F309" s="275"/>
      <c r="G309" s="275"/>
      <c r="H309" s="275"/>
      <c r="I309" s="115"/>
      <c r="J309" s="115"/>
      <c r="K309" s="276"/>
      <c r="L309" s="115"/>
      <c r="M309" s="115"/>
      <c r="N309" s="115"/>
      <c r="O309" s="115"/>
      <c r="P309" s="254"/>
      <c r="Q309" s="254"/>
      <c r="R309" s="254"/>
      <c r="T309" s="254"/>
      <c r="U309" s="254"/>
    </row>
    <row r="310" spans="1:21" ht="15">
      <c r="A310" s="253"/>
      <c r="B310" s="253"/>
      <c r="C310" s="253"/>
      <c r="D310" s="253"/>
      <c r="E310" s="115"/>
      <c r="F310" s="275"/>
      <c r="G310" s="275"/>
      <c r="H310" s="275"/>
      <c r="I310" s="115"/>
      <c r="J310" s="115"/>
      <c r="K310" s="276"/>
      <c r="L310" s="115"/>
      <c r="M310" s="115"/>
      <c r="N310" s="115"/>
      <c r="O310" s="115"/>
      <c r="P310" s="254"/>
      <c r="Q310" s="254"/>
      <c r="R310" s="254"/>
      <c r="T310" s="254"/>
      <c r="U310" s="254"/>
    </row>
    <row r="311" spans="1:21" ht="15">
      <c r="A311" s="253"/>
      <c r="B311" s="253"/>
      <c r="C311" s="253"/>
      <c r="D311" s="253"/>
      <c r="E311" s="115"/>
      <c r="F311" s="275"/>
      <c r="G311" s="275"/>
      <c r="H311" s="275"/>
      <c r="I311" s="115"/>
      <c r="J311" s="115"/>
      <c r="K311" s="276"/>
      <c r="L311" s="115"/>
      <c r="M311" s="115"/>
      <c r="N311" s="115"/>
      <c r="O311" s="115"/>
      <c r="P311" s="254"/>
      <c r="Q311" s="254"/>
      <c r="R311" s="254"/>
      <c r="T311" s="254"/>
      <c r="U311" s="254"/>
    </row>
    <row r="312" spans="1:21" ht="15">
      <c r="A312" s="253"/>
      <c r="B312" s="253"/>
      <c r="C312" s="253"/>
      <c r="D312" s="253"/>
      <c r="E312" s="115"/>
      <c r="F312" s="275"/>
      <c r="G312" s="275"/>
      <c r="H312" s="275"/>
      <c r="I312" s="115"/>
      <c r="J312" s="115"/>
      <c r="K312" s="276"/>
      <c r="L312" s="115"/>
      <c r="M312" s="115"/>
      <c r="N312" s="115"/>
      <c r="O312" s="115"/>
      <c r="P312" s="254"/>
      <c r="Q312" s="254"/>
      <c r="R312" s="254"/>
      <c r="T312" s="254"/>
      <c r="U312" s="254"/>
    </row>
    <row r="313" spans="1:21" ht="15">
      <c r="A313" s="253"/>
      <c r="B313" s="253"/>
      <c r="C313" s="253"/>
      <c r="D313" s="253"/>
      <c r="E313" s="115"/>
      <c r="F313" s="275"/>
      <c r="G313" s="275"/>
      <c r="H313" s="275"/>
      <c r="I313" s="115"/>
      <c r="J313" s="115"/>
      <c r="K313" s="276"/>
      <c r="L313" s="115"/>
      <c r="M313" s="115"/>
      <c r="N313" s="115"/>
      <c r="O313" s="115"/>
      <c r="P313" s="254"/>
      <c r="Q313" s="254"/>
      <c r="R313" s="254"/>
      <c r="T313" s="254"/>
      <c r="U313" s="254"/>
    </row>
    <row r="314" spans="1:21" ht="15">
      <c r="A314" s="253"/>
      <c r="B314" s="253"/>
      <c r="C314" s="253"/>
      <c r="D314" s="253"/>
      <c r="E314" s="115"/>
      <c r="F314" s="275"/>
      <c r="G314" s="275"/>
      <c r="H314" s="275"/>
      <c r="I314" s="115"/>
      <c r="J314" s="115"/>
      <c r="K314" s="276"/>
      <c r="L314" s="115"/>
      <c r="M314" s="115"/>
      <c r="N314" s="115"/>
      <c r="O314" s="115"/>
      <c r="P314" s="254"/>
      <c r="Q314" s="254"/>
      <c r="R314" s="254"/>
      <c r="T314" s="254"/>
      <c r="U314" s="254"/>
    </row>
    <row r="315" spans="1:21" ht="15">
      <c r="A315" s="253"/>
      <c r="B315" s="253"/>
      <c r="C315" s="253"/>
      <c r="D315" s="253"/>
      <c r="E315" s="115"/>
      <c r="F315" s="275"/>
      <c r="G315" s="275"/>
      <c r="H315" s="275"/>
      <c r="I315" s="115"/>
      <c r="J315" s="115"/>
      <c r="K315" s="276"/>
      <c r="L315" s="115"/>
      <c r="M315" s="115"/>
      <c r="N315" s="115"/>
      <c r="O315" s="115"/>
      <c r="P315" s="254"/>
      <c r="Q315" s="254"/>
      <c r="R315" s="254"/>
      <c r="T315" s="254"/>
      <c r="U315" s="254"/>
    </row>
    <row r="316" spans="1:21" ht="15">
      <c r="A316" s="253"/>
      <c r="B316" s="253"/>
      <c r="C316" s="253"/>
      <c r="D316" s="253"/>
      <c r="E316" s="115"/>
      <c r="F316" s="275"/>
      <c r="G316" s="275"/>
      <c r="H316" s="275"/>
      <c r="I316" s="115"/>
      <c r="J316" s="115"/>
      <c r="K316" s="276"/>
      <c r="L316" s="115"/>
      <c r="M316" s="115"/>
      <c r="N316" s="115"/>
      <c r="O316" s="115"/>
      <c r="P316" s="254"/>
      <c r="Q316" s="254"/>
      <c r="R316" s="254"/>
      <c r="T316" s="254"/>
      <c r="U316" s="254"/>
    </row>
    <row r="317" spans="1:21" ht="15">
      <c r="A317" s="253"/>
      <c r="B317" s="253"/>
      <c r="C317" s="253"/>
      <c r="D317" s="253"/>
      <c r="E317" s="115"/>
      <c r="F317" s="275"/>
      <c r="G317" s="275"/>
      <c r="H317" s="275"/>
      <c r="I317" s="115"/>
      <c r="J317" s="115"/>
      <c r="K317" s="276"/>
      <c r="L317" s="115"/>
      <c r="M317" s="115"/>
      <c r="N317" s="115"/>
      <c r="O317" s="115"/>
      <c r="P317" s="254"/>
      <c r="Q317" s="254"/>
      <c r="R317" s="254"/>
      <c r="T317" s="254"/>
      <c r="U317" s="254"/>
    </row>
    <row r="318" spans="1:21" ht="15">
      <c r="A318" s="253"/>
      <c r="B318" s="253"/>
      <c r="C318" s="253"/>
      <c r="D318" s="253"/>
      <c r="E318" s="115"/>
      <c r="F318" s="275"/>
      <c r="G318" s="275"/>
      <c r="H318" s="275"/>
      <c r="I318" s="115"/>
      <c r="J318" s="115"/>
      <c r="K318" s="276"/>
      <c r="L318" s="115"/>
      <c r="M318" s="115"/>
      <c r="N318" s="115"/>
      <c r="O318" s="115"/>
      <c r="P318" s="254"/>
      <c r="Q318" s="254"/>
      <c r="R318" s="254"/>
      <c r="T318" s="254"/>
      <c r="U318" s="254"/>
    </row>
    <row r="319" spans="1:21" ht="15">
      <c r="A319" s="253"/>
      <c r="B319" s="253"/>
      <c r="C319" s="253"/>
      <c r="D319" s="253"/>
      <c r="E319" s="115"/>
      <c r="F319" s="275"/>
      <c r="G319" s="275"/>
      <c r="H319" s="275"/>
      <c r="I319" s="115"/>
      <c r="J319" s="115"/>
      <c r="K319" s="276"/>
      <c r="L319" s="115"/>
      <c r="M319" s="115"/>
      <c r="N319" s="115"/>
      <c r="O319" s="115"/>
      <c r="P319" s="254"/>
      <c r="Q319" s="254"/>
      <c r="R319" s="254"/>
      <c r="T319" s="254"/>
      <c r="U319" s="254"/>
    </row>
    <row r="320" spans="1:21" ht="15">
      <c r="A320" s="253"/>
      <c r="B320" s="253"/>
      <c r="C320" s="253"/>
      <c r="D320" s="253"/>
      <c r="E320" s="115"/>
      <c r="F320" s="275"/>
      <c r="G320" s="275"/>
      <c r="H320" s="275"/>
      <c r="I320" s="115"/>
      <c r="J320" s="115"/>
      <c r="K320" s="276"/>
      <c r="L320" s="115"/>
      <c r="M320" s="115"/>
      <c r="N320" s="115"/>
      <c r="O320" s="115"/>
      <c r="P320" s="254"/>
      <c r="Q320" s="254"/>
      <c r="R320" s="254"/>
      <c r="T320" s="254"/>
      <c r="U320" s="254"/>
    </row>
    <row r="321" spans="1:21" ht="15">
      <c r="A321" s="253"/>
      <c r="B321" s="253"/>
      <c r="C321" s="253"/>
      <c r="D321" s="253"/>
      <c r="E321" s="115"/>
      <c r="F321" s="275"/>
      <c r="G321" s="275"/>
      <c r="H321" s="275"/>
      <c r="I321" s="115"/>
      <c r="J321" s="115"/>
      <c r="K321" s="276"/>
      <c r="L321" s="115"/>
      <c r="M321" s="115"/>
      <c r="N321" s="115"/>
      <c r="O321" s="115"/>
      <c r="P321" s="254"/>
      <c r="Q321" s="254"/>
      <c r="R321" s="254"/>
      <c r="T321" s="254"/>
      <c r="U321" s="254"/>
    </row>
    <row r="322" spans="1:21" ht="15">
      <c r="A322" s="253"/>
      <c r="B322" s="253"/>
      <c r="C322" s="253"/>
      <c r="D322" s="253"/>
      <c r="E322" s="115"/>
      <c r="F322" s="275"/>
      <c r="G322" s="275"/>
      <c r="H322" s="275"/>
      <c r="I322" s="115"/>
      <c r="J322" s="115"/>
      <c r="K322" s="276"/>
      <c r="L322" s="115"/>
      <c r="M322" s="115"/>
      <c r="N322" s="115"/>
      <c r="O322" s="115"/>
      <c r="P322" s="254"/>
      <c r="Q322" s="254"/>
      <c r="R322" s="254"/>
      <c r="T322" s="254"/>
      <c r="U322" s="254"/>
    </row>
    <row r="323" spans="1:21" ht="15">
      <c r="A323" s="253"/>
      <c r="B323" s="253"/>
      <c r="C323" s="253"/>
      <c r="D323" s="253"/>
      <c r="E323" s="115"/>
      <c r="F323" s="275"/>
      <c r="G323" s="275"/>
      <c r="H323" s="275"/>
      <c r="I323" s="115"/>
      <c r="J323" s="115"/>
      <c r="K323" s="276"/>
      <c r="L323" s="115"/>
      <c r="M323" s="115"/>
      <c r="N323" s="115"/>
      <c r="O323" s="115"/>
      <c r="P323" s="254"/>
      <c r="Q323" s="254"/>
      <c r="R323" s="254"/>
      <c r="T323" s="254"/>
      <c r="U323" s="254"/>
    </row>
    <row r="324" spans="1:21" ht="15">
      <c r="A324" s="253"/>
      <c r="B324" s="253"/>
      <c r="C324" s="253"/>
      <c r="D324" s="253"/>
      <c r="E324" s="115"/>
      <c r="F324" s="275"/>
      <c r="G324" s="275"/>
      <c r="H324" s="275"/>
      <c r="I324" s="115"/>
      <c r="J324" s="115"/>
      <c r="K324" s="276"/>
      <c r="L324" s="115"/>
      <c r="M324" s="115"/>
      <c r="N324" s="115"/>
      <c r="O324" s="115"/>
      <c r="P324" s="254"/>
      <c r="Q324" s="254"/>
      <c r="R324" s="254"/>
      <c r="T324" s="254"/>
      <c r="U324" s="254"/>
    </row>
    <row r="325" spans="1:21" ht="15">
      <c r="A325" s="253"/>
      <c r="B325" s="253"/>
      <c r="C325" s="253"/>
      <c r="D325" s="253"/>
      <c r="E325" s="115"/>
      <c r="F325" s="275"/>
      <c r="G325" s="275"/>
      <c r="H325" s="275"/>
      <c r="I325" s="115"/>
      <c r="J325" s="115"/>
      <c r="K325" s="276"/>
      <c r="L325" s="115"/>
      <c r="M325" s="115"/>
      <c r="N325" s="115"/>
      <c r="O325" s="115"/>
      <c r="P325" s="254"/>
      <c r="Q325" s="254"/>
      <c r="R325" s="254"/>
      <c r="T325" s="254"/>
      <c r="U325" s="254"/>
    </row>
    <row r="326" spans="1:21" ht="15">
      <c r="A326" s="253"/>
      <c r="B326" s="253"/>
      <c r="C326" s="253"/>
      <c r="D326" s="253"/>
      <c r="E326" s="115"/>
      <c r="F326" s="275"/>
      <c r="G326" s="275"/>
      <c r="H326" s="275"/>
      <c r="I326" s="115"/>
      <c r="J326" s="115"/>
      <c r="K326" s="276"/>
      <c r="L326" s="115"/>
      <c r="M326" s="115"/>
      <c r="N326" s="115"/>
      <c r="O326" s="115"/>
      <c r="P326" s="254"/>
      <c r="Q326" s="254"/>
      <c r="R326" s="254"/>
      <c r="T326" s="254"/>
      <c r="U326" s="254"/>
    </row>
    <row r="327" spans="1:21" ht="15">
      <c r="A327" s="253"/>
      <c r="B327" s="253"/>
      <c r="C327" s="253"/>
      <c r="D327" s="253"/>
      <c r="E327" s="115"/>
      <c r="F327" s="275"/>
      <c r="G327" s="275"/>
      <c r="H327" s="275"/>
      <c r="I327" s="115"/>
      <c r="J327" s="115"/>
      <c r="K327" s="276"/>
      <c r="L327" s="115"/>
      <c r="M327" s="115"/>
      <c r="N327" s="115"/>
      <c r="O327" s="115"/>
      <c r="P327" s="254"/>
      <c r="Q327" s="254"/>
      <c r="R327" s="254"/>
      <c r="T327" s="254"/>
      <c r="U327" s="254"/>
    </row>
    <row r="328" spans="1:21" ht="15">
      <c r="A328" s="253"/>
      <c r="B328" s="253"/>
      <c r="C328" s="253"/>
      <c r="D328" s="253"/>
      <c r="E328" s="115"/>
      <c r="F328" s="275"/>
      <c r="G328" s="275"/>
      <c r="H328" s="275"/>
      <c r="I328" s="115"/>
      <c r="J328" s="115"/>
      <c r="K328" s="276"/>
      <c r="L328" s="115"/>
      <c r="M328" s="115"/>
      <c r="N328" s="115"/>
      <c r="O328" s="115"/>
      <c r="P328" s="254"/>
      <c r="Q328" s="254"/>
      <c r="R328" s="254"/>
      <c r="T328" s="254"/>
      <c r="U328" s="254"/>
    </row>
    <row r="329" spans="1:21" ht="15">
      <c r="A329" s="253"/>
      <c r="B329" s="253"/>
      <c r="C329" s="253"/>
      <c r="D329" s="253"/>
      <c r="E329" s="115"/>
      <c r="F329" s="275"/>
      <c r="G329" s="275"/>
      <c r="H329" s="275"/>
      <c r="I329" s="115"/>
      <c r="J329" s="115"/>
      <c r="K329" s="276"/>
      <c r="L329" s="115"/>
      <c r="M329" s="115"/>
      <c r="N329" s="115"/>
      <c r="O329" s="115"/>
      <c r="P329" s="254"/>
      <c r="Q329" s="254"/>
      <c r="R329" s="254"/>
      <c r="T329" s="254"/>
      <c r="U329" s="254"/>
    </row>
    <row r="330" spans="1:21" ht="15">
      <c r="A330" s="253"/>
      <c r="B330" s="253"/>
      <c r="C330" s="253"/>
      <c r="D330" s="253"/>
      <c r="E330" s="115"/>
      <c r="F330" s="275"/>
      <c r="G330" s="275"/>
      <c r="H330" s="275"/>
      <c r="I330" s="115"/>
      <c r="J330" s="115"/>
      <c r="K330" s="276"/>
      <c r="L330" s="115"/>
      <c r="M330" s="115"/>
      <c r="N330" s="115"/>
      <c r="O330" s="115"/>
      <c r="P330" s="254"/>
      <c r="Q330" s="254"/>
      <c r="R330" s="254"/>
      <c r="T330" s="254"/>
      <c r="U330" s="254"/>
    </row>
    <row r="331" spans="1:21" ht="15">
      <c r="A331" s="253"/>
      <c r="B331" s="253"/>
      <c r="C331" s="253"/>
      <c r="D331" s="253"/>
      <c r="E331" s="115"/>
      <c r="F331" s="275"/>
      <c r="G331" s="275"/>
      <c r="H331" s="275"/>
      <c r="I331" s="115"/>
      <c r="J331" s="115"/>
      <c r="K331" s="276"/>
      <c r="L331" s="115"/>
      <c r="M331" s="115"/>
      <c r="N331" s="115"/>
      <c r="O331" s="115"/>
      <c r="P331" s="254"/>
      <c r="Q331" s="254"/>
      <c r="R331" s="254"/>
      <c r="T331" s="254"/>
      <c r="U331" s="254"/>
    </row>
    <row r="332" spans="1:21" ht="15">
      <c r="A332" s="253"/>
      <c r="B332" s="253"/>
      <c r="C332" s="253"/>
      <c r="D332" s="253"/>
      <c r="E332" s="115"/>
      <c r="F332" s="275"/>
      <c r="G332" s="275"/>
      <c r="H332" s="275"/>
      <c r="I332" s="115"/>
      <c r="J332" s="115"/>
      <c r="K332" s="276"/>
      <c r="L332" s="115"/>
      <c r="M332" s="115"/>
      <c r="N332" s="115"/>
      <c r="O332" s="115"/>
      <c r="P332" s="254"/>
      <c r="Q332" s="254"/>
      <c r="R332" s="254"/>
      <c r="T332" s="254"/>
      <c r="U332" s="254"/>
    </row>
    <row r="333" spans="1:21" ht="15">
      <c r="A333" s="253"/>
      <c r="B333" s="253"/>
      <c r="C333" s="253"/>
      <c r="D333" s="253"/>
      <c r="E333" s="115"/>
      <c r="F333" s="275"/>
      <c r="G333" s="275"/>
      <c r="H333" s="275"/>
      <c r="I333" s="115"/>
      <c r="J333" s="115"/>
      <c r="K333" s="276"/>
      <c r="L333" s="115"/>
      <c r="M333" s="115"/>
      <c r="N333" s="115"/>
      <c r="O333" s="115"/>
      <c r="P333" s="254"/>
      <c r="Q333" s="254"/>
      <c r="R333" s="254"/>
      <c r="T333" s="254"/>
      <c r="U333" s="254"/>
    </row>
    <row r="334" spans="1:21" ht="15">
      <c r="A334" s="253"/>
      <c r="B334" s="253"/>
      <c r="C334" s="253"/>
      <c r="D334" s="253"/>
      <c r="E334" s="115"/>
      <c r="F334" s="275"/>
      <c r="G334" s="275"/>
      <c r="H334" s="275"/>
      <c r="I334" s="115"/>
      <c r="J334" s="115"/>
      <c r="K334" s="276"/>
      <c r="L334" s="115"/>
      <c r="M334" s="115"/>
      <c r="N334" s="115"/>
      <c r="O334" s="115"/>
      <c r="P334" s="254"/>
      <c r="Q334" s="254"/>
      <c r="R334" s="254"/>
      <c r="T334" s="254"/>
      <c r="U334" s="254"/>
    </row>
    <row r="335" spans="1:21" ht="15">
      <c r="A335" s="253"/>
      <c r="B335" s="253"/>
      <c r="C335" s="253"/>
      <c r="D335" s="253"/>
      <c r="E335" s="115"/>
      <c r="F335" s="275"/>
      <c r="G335" s="275"/>
      <c r="H335" s="275"/>
      <c r="I335" s="115"/>
      <c r="J335" s="115"/>
      <c r="K335" s="276"/>
      <c r="L335" s="115"/>
      <c r="M335" s="115"/>
      <c r="N335" s="115"/>
      <c r="O335" s="115"/>
      <c r="P335" s="254"/>
      <c r="Q335" s="254"/>
      <c r="R335" s="254"/>
      <c r="T335" s="254"/>
      <c r="U335" s="254"/>
    </row>
    <row r="336" spans="1:21" ht="15">
      <c r="A336" s="253"/>
      <c r="B336" s="253"/>
      <c r="C336" s="253"/>
      <c r="D336" s="253"/>
      <c r="E336" s="115"/>
      <c r="F336" s="275"/>
      <c r="G336" s="275"/>
      <c r="H336" s="275"/>
      <c r="I336" s="115"/>
      <c r="J336" s="115"/>
      <c r="K336" s="276"/>
      <c r="L336" s="115"/>
      <c r="M336" s="115"/>
      <c r="N336" s="115"/>
      <c r="O336" s="115"/>
      <c r="P336" s="254"/>
      <c r="Q336" s="254"/>
      <c r="R336" s="254"/>
      <c r="T336" s="254"/>
      <c r="U336" s="254"/>
    </row>
    <row r="337" spans="1:21" ht="15">
      <c r="A337" s="253"/>
      <c r="B337" s="253"/>
      <c r="C337" s="253"/>
      <c r="D337" s="253"/>
      <c r="E337" s="115"/>
      <c r="F337" s="275"/>
      <c r="G337" s="275"/>
      <c r="H337" s="275"/>
      <c r="I337" s="115"/>
      <c r="J337" s="115"/>
      <c r="K337" s="276"/>
      <c r="L337" s="115"/>
      <c r="M337" s="115"/>
      <c r="N337" s="115"/>
      <c r="O337" s="115"/>
      <c r="P337" s="254"/>
      <c r="Q337" s="254"/>
      <c r="R337" s="254"/>
      <c r="T337" s="254"/>
      <c r="U337" s="254"/>
    </row>
    <row r="338" spans="1:21" ht="15">
      <c r="A338" s="253"/>
      <c r="B338" s="253"/>
      <c r="C338" s="253"/>
      <c r="D338" s="253"/>
      <c r="E338" s="115"/>
      <c r="F338" s="275"/>
      <c r="G338" s="275"/>
      <c r="H338" s="275"/>
      <c r="I338" s="115"/>
      <c r="J338" s="115"/>
      <c r="K338" s="276"/>
      <c r="L338" s="115"/>
      <c r="M338" s="115"/>
      <c r="N338" s="115"/>
      <c r="O338" s="115"/>
      <c r="P338" s="254"/>
      <c r="Q338" s="254"/>
      <c r="R338" s="254"/>
      <c r="T338" s="254"/>
      <c r="U338" s="254"/>
    </row>
    <row r="339" spans="1:21" ht="15">
      <c r="A339" s="253"/>
      <c r="B339" s="253"/>
      <c r="C339" s="253"/>
      <c r="D339" s="253"/>
      <c r="E339" s="115"/>
      <c r="F339" s="275"/>
      <c r="G339" s="275"/>
      <c r="H339" s="275"/>
      <c r="I339" s="115"/>
      <c r="J339" s="115"/>
      <c r="K339" s="276"/>
      <c r="L339" s="115"/>
      <c r="M339" s="115"/>
      <c r="N339" s="115"/>
      <c r="O339" s="115"/>
      <c r="P339" s="254"/>
      <c r="Q339" s="254"/>
      <c r="R339" s="254"/>
      <c r="T339" s="254"/>
      <c r="U339" s="254"/>
    </row>
    <row r="340" spans="1:21" ht="15">
      <c r="A340" s="253"/>
      <c r="B340" s="253"/>
      <c r="C340" s="253"/>
      <c r="D340" s="253"/>
      <c r="E340" s="115"/>
      <c r="F340" s="275"/>
      <c r="G340" s="275"/>
      <c r="H340" s="275"/>
      <c r="I340" s="115"/>
      <c r="J340" s="115"/>
      <c r="K340" s="276"/>
      <c r="L340" s="115"/>
      <c r="M340" s="115"/>
      <c r="N340" s="115"/>
      <c r="O340" s="115"/>
      <c r="P340" s="254"/>
      <c r="Q340" s="254"/>
      <c r="R340" s="254"/>
      <c r="T340" s="254"/>
      <c r="U340" s="254"/>
    </row>
    <row r="341" spans="1:21" ht="15">
      <c r="A341" s="253"/>
      <c r="B341" s="253"/>
      <c r="C341" s="253"/>
      <c r="D341" s="253"/>
      <c r="E341" s="115"/>
      <c r="F341" s="275"/>
      <c r="G341" s="275"/>
      <c r="H341" s="275"/>
      <c r="I341" s="115"/>
      <c r="J341" s="115"/>
      <c r="K341" s="276"/>
      <c r="L341" s="115"/>
      <c r="M341" s="115"/>
      <c r="N341" s="115"/>
      <c r="O341" s="115"/>
      <c r="P341" s="254"/>
      <c r="Q341" s="254"/>
      <c r="R341" s="254"/>
      <c r="T341" s="254"/>
      <c r="U341" s="254"/>
    </row>
    <row r="342" spans="1:21" ht="15">
      <c r="A342" s="253"/>
      <c r="B342" s="253"/>
      <c r="C342" s="253"/>
      <c r="D342" s="253"/>
      <c r="E342" s="115"/>
      <c r="F342" s="275"/>
      <c r="G342" s="275"/>
      <c r="H342" s="275"/>
      <c r="I342" s="115"/>
      <c r="J342" s="115"/>
      <c r="K342" s="276"/>
      <c r="L342" s="115"/>
      <c r="M342" s="115"/>
      <c r="N342" s="115"/>
      <c r="O342" s="115"/>
      <c r="P342" s="254"/>
      <c r="Q342" s="254"/>
      <c r="R342" s="254"/>
      <c r="T342" s="254"/>
      <c r="U342" s="254"/>
    </row>
    <row r="343" spans="1:21" ht="15">
      <c r="A343" s="253"/>
      <c r="B343" s="253"/>
      <c r="C343" s="253"/>
      <c r="D343" s="253"/>
      <c r="E343" s="115"/>
      <c r="F343" s="275"/>
      <c r="G343" s="275"/>
      <c r="H343" s="275"/>
      <c r="I343" s="115"/>
      <c r="J343" s="115"/>
      <c r="K343" s="276"/>
      <c r="L343" s="115"/>
      <c r="M343" s="115"/>
      <c r="N343" s="115"/>
      <c r="O343" s="115"/>
      <c r="P343" s="254"/>
      <c r="Q343" s="254"/>
      <c r="R343" s="254"/>
      <c r="T343" s="254"/>
      <c r="U343" s="254"/>
    </row>
    <row r="344" spans="1:21" ht="15">
      <c r="A344" s="253"/>
      <c r="B344" s="253"/>
      <c r="C344" s="253"/>
      <c r="D344" s="253"/>
      <c r="E344" s="115"/>
      <c r="F344" s="275"/>
      <c r="G344" s="275"/>
      <c r="H344" s="275"/>
      <c r="I344" s="115"/>
      <c r="J344" s="115"/>
      <c r="K344" s="276"/>
      <c r="L344" s="115"/>
      <c r="M344" s="115"/>
      <c r="N344" s="115"/>
      <c r="O344" s="115"/>
      <c r="P344" s="254"/>
      <c r="Q344" s="254"/>
      <c r="R344" s="254"/>
      <c r="T344" s="254"/>
      <c r="U344" s="254"/>
    </row>
    <row r="345" spans="1:21" ht="15">
      <c r="A345" s="253"/>
      <c r="B345" s="253"/>
      <c r="C345" s="253"/>
      <c r="D345" s="253"/>
      <c r="E345" s="115"/>
      <c r="F345" s="275"/>
      <c r="G345" s="275"/>
      <c r="H345" s="275"/>
      <c r="I345" s="115"/>
      <c r="J345" s="115"/>
      <c r="K345" s="276"/>
      <c r="L345" s="115"/>
      <c r="M345" s="115"/>
      <c r="N345" s="115"/>
      <c r="O345" s="115"/>
      <c r="P345" s="254"/>
      <c r="Q345" s="254"/>
      <c r="R345" s="254"/>
      <c r="T345" s="254"/>
      <c r="U345" s="254"/>
    </row>
    <row r="346" spans="1:21" ht="15">
      <c r="A346" s="253"/>
      <c r="B346" s="253"/>
      <c r="C346" s="253"/>
      <c r="D346" s="253"/>
      <c r="E346" s="115"/>
      <c r="F346" s="275"/>
      <c r="G346" s="275"/>
      <c r="H346" s="275"/>
      <c r="I346" s="115"/>
      <c r="J346" s="115"/>
      <c r="K346" s="276"/>
      <c r="L346" s="115"/>
      <c r="M346" s="115"/>
      <c r="N346" s="115"/>
      <c r="O346" s="115"/>
      <c r="P346" s="254"/>
      <c r="Q346" s="254"/>
      <c r="R346" s="254"/>
      <c r="T346" s="254"/>
      <c r="U346" s="254"/>
    </row>
    <row r="347" spans="1:21" ht="15">
      <c r="A347" s="253"/>
      <c r="B347" s="253"/>
      <c r="C347" s="253"/>
      <c r="D347" s="253"/>
      <c r="E347" s="115"/>
      <c r="F347" s="275"/>
      <c r="G347" s="275"/>
      <c r="H347" s="275"/>
      <c r="I347" s="115"/>
      <c r="J347" s="115"/>
      <c r="K347" s="276"/>
      <c r="L347" s="115"/>
      <c r="M347" s="115"/>
      <c r="N347" s="115"/>
      <c r="O347" s="115"/>
      <c r="P347" s="254"/>
      <c r="Q347" s="254"/>
      <c r="R347" s="254"/>
      <c r="T347" s="254"/>
      <c r="U347" s="254"/>
    </row>
    <row r="348" spans="1:21" ht="15">
      <c r="A348" s="253"/>
      <c r="B348" s="253"/>
      <c r="C348" s="253"/>
      <c r="D348" s="253"/>
      <c r="E348" s="115"/>
      <c r="F348" s="275"/>
      <c r="G348" s="275"/>
      <c r="H348" s="275"/>
      <c r="I348" s="115"/>
      <c r="J348" s="115"/>
      <c r="K348" s="276"/>
      <c r="L348" s="115"/>
      <c r="M348" s="115"/>
      <c r="N348" s="115"/>
      <c r="O348" s="115"/>
      <c r="P348" s="254"/>
      <c r="Q348" s="254"/>
      <c r="R348" s="254"/>
      <c r="T348" s="254"/>
      <c r="U348" s="254"/>
    </row>
    <row r="349" spans="1:21" ht="15">
      <c r="A349" s="253"/>
      <c r="B349" s="253"/>
      <c r="C349" s="253"/>
      <c r="D349" s="253"/>
      <c r="E349" s="115"/>
      <c r="F349" s="275"/>
      <c r="G349" s="275"/>
      <c r="H349" s="275"/>
      <c r="I349" s="115"/>
      <c r="J349" s="115"/>
      <c r="K349" s="276"/>
      <c r="L349" s="115"/>
      <c r="M349" s="115"/>
      <c r="N349" s="115"/>
      <c r="O349" s="115"/>
      <c r="P349" s="254"/>
      <c r="Q349" s="254"/>
      <c r="R349" s="254"/>
      <c r="T349" s="254"/>
      <c r="U349" s="254"/>
    </row>
    <row r="350" spans="1:21" ht="15">
      <c r="A350" s="253"/>
      <c r="B350" s="253"/>
      <c r="C350" s="253"/>
      <c r="D350" s="253"/>
      <c r="E350" s="115"/>
      <c r="F350" s="275"/>
      <c r="G350" s="275"/>
      <c r="H350" s="275"/>
      <c r="I350" s="115"/>
      <c r="J350" s="115"/>
      <c r="K350" s="276"/>
      <c r="L350" s="115"/>
      <c r="M350" s="115"/>
      <c r="N350" s="115"/>
      <c r="O350" s="115"/>
      <c r="P350" s="254"/>
      <c r="Q350" s="254"/>
      <c r="R350" s="254"/>
      <c r="T350" s="254"/>
      <c r="U350" s="254"/>
    </row>
    <row r="351" spans="1:21" ht="15">
      <c r="A351" s="253"/>
      <c r="B351" s="253"/>
      <c r="C351" s="253"/>
      <c r="D351" s="253"/>
      <c r="E351" s="115"/>
      <c r="F351" s="275"/>
      <c r="G351" s="275"/>
      <c r="H351" s="275"/>
      <c r="I351" s="115"/>
      <c r="J351" s="115"/>
      <c r="K351" s="276"/>
      <c r="L351" s="115"/>
      <c r="M351" s="115"/>
      <c r="N351" s="115"/>
      <c r="O351" s="115"/>
      <c r="P351" s="254"/>
      <c r="Q351" s="254"/>
      <c r="R351" s="254"/>
      <c r="T351" s="254"/>
      <c r="U351" s="254"/>
    </row>
    <row r="352" spans="1:21" ht="15">
      <c r="A352" s="253"/>
      <c r="B352" s="253"/>
      <c r="C352" s="253"/>
      <c r="D352" s="253"/>
      <c r="E352" s="115"/>
      <c r="F352" s="275"/>
      <c r="G352" s="275"/>
      <c r="H352" s="275"/>
      <c r="I352" s="115"/>
      <c r="J352" s="115"/>
      <c r="K352" s="276"/>
      <c r="L352" s="115"/>
      <c r="M352" s="115"/>
      <c r="N352" s="115"/>
      <c r="O352" s="115"/>
      <c r="P352" s="254"/>
      <c r="Q352" s="254"/>
      <c r="R352" s="254"/>
      <c r="T352" s="254"/>
      <c r="U352" s="254"/>
    </row>
    <row r="353" spans="1:21" ht="15">
      <c r="A353" s="253"/>
      <c r="B353" s="253"/>
      <c r="C353" s="253"/>
      <c r="D353" s="253"/>
      <c r="E353" s="115"/>
      <c r="F353" s="275"/>
      <c r="G353" s="275"/>
      <c r="H353" s="275"/>
      <c r="I353" s="115"/>
      <c r="J353" s="115"/>
      <c r="K353" s="276"/>
      <c r="L353" s="115"/>
      <c r="M353" s="115"/>
      <c r="N353" s="115"/>
      <c r="O353" s="115"/>
      <c r="P353" s="254"/>
      <c r="Q353" s="254"/>
      <c r="R353" s="254"/>
      <c r="T353" s="254"/>
      <c r="U353" s="254"/>
    </row>
    <row r="354" spans="1:21" ht="15">
      <c r="A354" s="253"/>
      <c r="B354" s="253"/>
      <c r="C354" s="253"/>
      <c r="D354" s="253"/>
      <c r="E354" s="115"/>
      <c r="F354" s="275"/>
      <c r="G354" s="275"/>
      <c r="H354" s="275"/>
      <c r="I354" s="115"/>
      <c r="J354" s="115"/>
      <c r="K354" s="276"/>
      <c r="L354" s="115"/>
      <c r="M354" s="115"/>
      <c r="N354" s="115"/>
      <c r="O354" s="115"/>
      <c r="P354" s="254"/>
      <c r="Q354" s="254"/>
      <c r="R354" s="254"/>
      <c r="T354" s="254"/>
      <c r="U354" s="254"/>
    </row>
    <row r="355" spans="1:21" ht="15">
      <c r="A355" s="253"/>
      <c r="B355" s="253"/>
      <c r="C355" s="253"/>
      <c r="D355" s="253"/>
      <c r="E355" s="115"/>
      <c r="F355" s="275"/>
      <c r="G355" s="275"/>
      <c r="H355" s="275"/>
      <c r="I355" s="115"/>
      <c r="J355" s="115"/>
      <c r="K355" s="276"/>
      <c r="L355" s="115"/>
      <c r="M355" s="115"/>
      <c r="N355" s="115"/>
      <c r="O355" s="115"/>
      <c r="P355" s="254"/>
      <c r="Q355" s="254"/>
      <c r="R355" s="254"/>
      <c r="T355" s="254"/>
      <c r="U355" s="254"/>
    </row>
    <row r="356" spans="1:21" ht="15">
      <c r="A356" s="253"/>
      <c r="B356" s="253"/>
      <c r="C356" s="253"/>
      <c r="D356" s="253"/>
      <c r="E356" s="115"/>
      <c r="F356" s="275"/>
      <c r="G356" s="275"/>
      <c r="H356" s="275"/>
      <c r="I356" s="115"/>
      <c r="J356" s="115"/>
      <c r="K356" s="276"/>
      <c r="L356" s="115"/>
      <c r="M356" s="115"/>
      <c r="N356" s="115"/>
      <c r="O356" s="115"/>
      <c r="P356" s="254"/>
      <c r="Q356" s="254"/>
      <c r="R356" s="254"/>
      <c r="T356" s="254"/>
      <c r="U356" s="254"/>
    </row>
    <row r="357" spans="1:21" ht="15">
      <c r="A357" s="253"/>
      <c r="B357" s="253"/>
      <c r="C357" s="253"/>
      <c r="D357" s="253"/>
      <c r="E357" s="115"/>
      <c r="F357" s="275"/>
      <c r="G357" s="275"/>
      <c r="H357" s="275"/>
      <c r="I357" s="115"/>
      <c r="J357" s="115"/>
      <c r="K357" s="276"/>
      <c r="L357" s="115"/>
      <c r="M357" s="115"/>
      <c r="N357" s="115"/>
      <c r="O357" s="115"/>
      <c r="P357" s="254"/>
      <c r="Q357" s="254"/>
      <c r="R357" s="254"/>
      <c r="T357" s="254"/>
      <c r="U357" s="254"/>
    </row>
    <row r="358" spans="1:21" ht="15">
      <c r="A358" s="253"/>
      <c r="B358" s="253"/>
      <c r="C358" s="253"/>
      <c r="D358" s="253"/>
      <c r="E358" s="115"/>
      <c r="F358" s="275"/>
      <c r="G358" s="275"/>
      <c r="H358" s="275"/>
      <c r="I358" s="115"/>
      <c r="J358" s="115"/>
      <c r="K358" s="276"/>
      <c r="L358" s="115"/>
      <c r="M358" s="115"/>
      <c r="N358" s="115"/>
      <c r="O358" s="115"/>
      <c r="P358" s="254"/>
      <c r="Q358" s="254"/>
      <c r="R358" s="254"/>
      <c r="T358" s="254"/>
      <c r="U358" s="254"/>
    </row>
    <row r="359" spans="1:21" ht="15">
      <c r="A359" s="253"/>
      <c r="B359" s="253"/>
      <c r="C359" s="253"/>
      <c r="D359" s="253"/>
      <c r="E359" s="115"/>
      <c r="F359" s="275"/>
      <c r="G359" s="275"/>
      <c r="H359" s="275"/>
      <c r="I359" s="115"/>
      <c r="J359" s="115"/>
      <c r="K359" s="276"/>
      <c r="L359" s="115"/>
      <c r="M359" s="115"/>
      <c r="N359" s="115"/>
      <c r="O359" s="115"/>
      <c r="P359" s="254"/>
      <c r="Q359" s="254"/>
      <c r="R359" s="254"/>
      <c r="T359" s="254"/>
      <c r="U359" s="254"/>
    </row>
    <row r="360" spans="1:21" ht="15">
      <c r="A360" s="253"/>
      <c r="B360" s="253"/>
      <c r="C360" s="253"/>
      <c r="D360" s="253"/>
      <c r="E360" s="115"/>
      <c r="F360" s="275"/>
      <c r="G360" s="275"/>
      <c r="H360" s="275"/>
      <c r="I360" s="115"/>
      <c r="J360" s="115"/>
      <c r="K360" s="276"/>
      <c r="L360" s="115"/>
      <c r="M360" s="115"/>
      <c r="N360" s="115"/>
      <c r="O360" s="115"/>
      <c r="P360" s="254"/>
      <c r="Q360" s="254"/>
      <c r="R360" s="254"/>
      <c r="T360" s="254"/>
      <c r="U360" s="254"/>
    </row>
    <row r="361" spans="1:21" ht="15">
      <c r="A361" s="253"/>
      <c r="B361" s="253"/>
      <c r="C361" s="253"/>
      <c r="D361" s="253"/>
      <c r="E361" s="115"/>
      <c r="F361" s="275"/>
      <c r="G361" s="275"/>
      <c r="H361" s="275"/>
      <c r="I361" s="115"/>
      <c r="J361" s="115"/>
      <c r="K361" s="276"/>
      <c r="L361" s="115"/>
      <c r="M361" s="115"/>
      <c r="N361" s="115"/>
      <c r="O361" s="115"/>
      <c r="P361" s="254"/>
      <c r="Q361" s="254"/>
      <c r="R361" s="254"/>
      <c r="T361" s="254"/>
      <c r="U361" s="254"/>
    </row>
    <row r="362" spans="1:21" ht="15">
      <c r="A362" s="253"/>
      <c r="B362" s="253"/>
      <c r="C362" s="253"/>
      <c r="D362" s="253"/>
      <c r="E362" s="115"/>
      <c r="F362" s="275"/>
      <c r="G362" s="275"/>
      <c r="H362" s="275"/>
      <c r="I362" s="115"/>
      <c r="J362" s="115"/>
      <c r="K362" s="276"/>
      <c r="L362" s="115"/>
      <c r="M362" s="115"/>
      <c r="N362" s="115"/>
      <c r="O362" s="115"/>
      <c r="P362" s="254"/>
      <c r="Q362" s="254"/>
      <c r="R362" s="254"/>
      <c r="T362" s="254"/>
      <c r="U362" s="254"/>
    </row>
    <row r="363" spans="1:21" ht="15">
      <c r="A363" s="253"/>
      <c r="B363" s="253"/>
      <c r="C363" s="253"/>
      <c r="D363" s="253"/>
      <c r="E363" s="115"/>
      <c r="F363" s="275"/>
      <c r="G363" s="275"/>
      <c r="H363" s="275"/>
      <c r="I363" s="115"/>
      <c r="J363" s="115"/>
      <c r="K363" s="276"/>
      <c r="L363" s="115"/>
      <c r="M363" s="115"/>
      <c r="N363" s="115"/>
      <c r="O363" s="115"/>
      <c r="P363" s="254"/>
      <c r="Q363" s="254"/>
      <c r="R363" s="254"/>
      <c r="T363" s="254"/>
      <c r="U363" s="254"/>
    </row>
    <row r="364" spans="1:21" ht="15">
      <c r="A364" s="253"/>
      <c r="B364" s="253"/>
      <c r="C364" s="253"/>
      <c r="D364" s="253"/>
      <c r="E364" s="115"/>
      <c r="F364" s="275"/>
      <c r="G364" s="275"/>
      <c r="H364" s="275"/>
      <c r="I364" s="115"/>
      <c r="J364" s="115"/>
      <c r="K364" s="276"/>
      <c r="L364" s="115"/>
      <c r="M364" s="115"/>
      <c r="N364" s="115"/>
      <c r="O364" s="115"/>
      <c r="P364" s="254"/>
      <c r="Q364" s="254"/>
      <c r="R364" s="254"/>
      <c r="T364" s="254"/>
      <c r="U364" s="254"/>
    </row>
    <row r="365" spans="1:21" ht="15">
      <c r="A365" s="253"/>
      <c r="B365" s="253"/>
      <c r="C365" s="253"/>
      <c r="D365" s="253"/>
      <c r="E365" s="115"/>
      <c r="F365" s="275"/>
      <c r="G365" s="275"/>
      <c r="H365" s="275"/>
      <c r="I365" s="115"/>
      <c r="J365" s="115"/>
      <c r="K365" s="276"/>
      <c r="L365" s="115"/>
      <c r="M365" s="115"/>
      <c r="N365" s="115"/>
      <c r="O365" s="115"/>
      <c r="P365" s="254"/>
      <c r="Q365" s="254"/>
      <c r="R365" s="254"/>
      <c r="T365" s="254"/>
      <c r="U365" s="254"/>
    </row>
    <row r="366" spans="1:21" ht="15">
      <c r="A366" s="253"/>
      <c r="B366" s="253"/>
      <c r="C366" s="253"/>
      <c r="D366" s="253"/>
      <c r="E366" s="115"/>
      <c r="F366" s="275"/>
      <c r="G366" s="275"/>
      <c r="H366" s="275"/>
      <c r="I366" s="115"/>
      <c r="J366" s="115"/>
      <c r="K366" s="276"/>
      <c r="L366" s="115"/>
      <c r="M366" s="115"/>
      <c r="N366" s="115"/>
      <c r="O366" s="115"/>
      <c r="P366" s="254"/>
      <c r="Q366" s="254"/>
      <c r="R366" s="254"/>
      <c r="T366" s="254"/>
      <c r="U366" s="254"/>
    </row>
    <row r="367" spans="1:21" ht="15">
      <c r="A367" s="253"/>
      <c r="B367" s="253"/>
      <c r="C367" s="253"/>
      <c r="D367" s="253"/>
      <c r="E367" s="115"/>
      <c r="F367" s="275"/>
      <c r="G367" s="275"/>
      <c r="H367" s="275"/>
      <c r="I367" s="115"/>
      <c r="J367" s="115"/>
      <c r="K367" s="276"/>
      <c r="L367" s="115"/>
      <c r="M367" s="115"/>
      <c r="N367" s="115"/>
      <c r="O367" s="115"/>
      <c r="P367" s="254"/>
      <c r="Q367" s="254"/>
      <c r="R367" s="254"/>
      <c r="T367" s="254"/>
      <c r="U367" s="254"/>
    </row>
    <row r="368" spans="1:21" ht="15">
      <c r="A368" s="253"/>
      <c r="B368" s="253"/>
      <c r="C368" s="253"/>
      <c r="D368" s="253"/>
      <c r="E368" s="115"/>
      <c r="F368" s="275"/>
      <c r="G368" s="275"/>
      <c r="H368" s="275"/>
      <c r="I368" s="115"/>
      <c r="J368" s="115"/>
      <c r="K368" s="276"/>
      <c r="L368" s="115"/>
      <c r="M368" s="115"/>
      <c r="N368" s="115"/>
      <c r="O368" s="115"/>
      <c r="P368" s="254"/>
      <c r="Q368" s="254"/>
      <c r="R368" s="254"/>
      <c r="T368" s="254"/>
      <c r="U368" s="254"/>
    </row>
    <row r="369" spans="1:21" ht="15">
      <c r="A369" s="253"/>
      <c r="B369" s="253"/>
      <c r="C369" s="253"/>
      <c r="D369" s="253"/>
      <c r="E369" s="115"/>
      <c r="F369" s="275"/>
      <c r="G369" s="275"/>
      <c r="H369" s="275"/>
      <c r="I369" s="115"/>
      <c r="J369" s="115"/>
      <c r="K369" s="276"/>
      <c r="L369" s="115"/>
      <c r="M369" s="115"/>
      <c r="N369" s="115"/>
      <c r="O369" s="115"/>
      <c r="P369" s="254"/>
      <c r="Q369" s="254"/>
      <c r="R369" s="254"/>
      <c r="T369" s="254"/>
      <c r="U369" s="254"/>
    </row>
    <row r="370" spans="1:21" ht="15">
      <c r="A370" s="253"/>
      <c r="B370" s="253"/>
      <c r="C370" s="253"/>
      <c r="D370" s="253"/>
      <c r="E370" s="115"/>
      <c r="F370" s="275"/>
      <c r="G370" s="275"/>
      <c r="H370" s="275"/>
      <c r="I370" s="115"/>
      <c r="J370" s="115"/>
      <c r="K370" s="276"/>
      <c r="L370" s="115"/>
      <c r="M370" s="115"/>
      <c r="N370" s="115"/>
      <c r="O370" s="115"/>
      <c r="P370" s="254"/>
      <c r="Q370" s="254"/>
      <c r="R370" s="254"/>
      <c r="T370" s="254"/>
      <c r="U370" s="254"/>
    </row>
    <row r="371" spans="1:21" ht="15">
      <c r="A371" s="253"/>
      <c r="B371" s="253"/>
      <c r="C371" s="253"/>
      <c r="D371" s="253"/>
      <c r="E371" s="115"/>
      <c r="F371" s="275"/>
      <c r="G371" s="275"/>
      <c r="H371" s="275"/>
      <c r="I371" s="115"/>
      <c r="J371" s="115"/>
      <c r="K371" s="276"/>
      <c r="L371" s="115"/>
      <c r="M371" s="115"/>
      <c r="N371" s="115"/>
      <c r="O371" s="115"/>
      <c r="P371" s="254"/>
      <c r="Q371" s="254"/>
      <c r="R371" s="254"/>
      <c r="T371" s="254"/>
      <c r="U371" s="254"/>
    </row>
    <row r="372" spans="1:21" ht="15">
      <c r="A372" s="253"/>
      <c r="B372" s="253"/>
      <c r="C372" s="253"/>
      <c r="D372" s="253"/>
      <c r="E372" s="115"/>
      <c r="F372" s="275"/>
      <c r="G372" s="275"/>
      <c r="H372" s="275"/>
      <c r="I372" s="115"/>
      <c r="J372" s="115"/>
      <c r="K372" s="276"/>
      <c r="L372" s="115"/>
      <c r="M372" s="115"/>
      <c r="N372" s="115"/>
      <c r="O372" s="115"/>
      <c r="P372" s="254"/>
      <c r="Q372" s="254"/>
      <c r="R372" s="254"/>
      <c r="T372" s="254"/>
      <c r="U372" s="254"/>
    </row>
    <row r="373" spans="1:21" ht="15">
      <c r="A373" s="253"/>
      <c r="B373" s="253"/>
      <c r="C373" s="253"/>
      <c r="D373" s="253"/>
      <c r="E373" s="115"/>
      <c r="F373" s="275"/>
      <c r="G373" s="275"/>
      <c r="H373" s="275"/>
      <c r="I373" s="115"/>
      <c r="J373" s="115"/>
      <c r="K373" s="276"/>
      <c r="L373" s="115"/>
      <c r="M373" s="115"/>
      <c r="N373" s="115"/>
      <c r="O373" s="115"/>
      <c r="P373" s="254"/>
      <c r="Q373" s="254"/>
      <c r="R373" s="254"/>
      <c r="T373" s="254"/>
      <c r="U373" s="254"/>
    </row>
    <row r="374" spans="1:21" ht="15">
      <c r="A374" s="253"/>
      <c r="B374" s="253"/>
      <c r="C374" s="253"/>
      <c r="D374" s="253"/>
      <c r="E374" s="115"/>
      <c r="F374" s="275"/>
      <c r="G374" s="275"/>
      <c r="H374" s="275"/>
      <c r="I374" s="115"/>
      <c r="J374" s="115"/>
      <c r="K374" s="276"/>
      <c r="L374" s="115"/>
      <c r="M374" s="115"/>
      <c r="N374" s="115"/>
      <c r="O374" s="115"/>
      <c r="P374" s="254"/>
      <c r="Q374" s="254"/>
      <c r="R374" s="254"/>
      <c r="T374" s="254"/>
      <c r="U374" s="254"/>
    </row>
    <row r="375" spans="1:21" ht="15">
      <c r="A375" s="253"/>
      <c r="B375" s="253"/>
      <c r="C375" s="253"/>
      <c r="D375" s="253"/>
      <c r="E375" s="115"/>
      <c r="F375" s="275"/>
      <c r="G375" s="275"/>
      <c r="H375" s="275"/>
      <c r="I375" s="115"/>
      <c r="J375" s="115"/>
      <c r="K375" s="276"/>
      <c r="L375" s="115"/>
      <c r="M375" s="115"/>
      <c r="N375" s="115"/>
      <c r="O375" s="115"/>
      <c r="P375" s="254"/>
      <c r="Q375" s="254"/>
      <c r="R375" s="254"/>
      <c r="T375" s="254"/>
      <c r="U375" s="254"/>
    </row>
    <row r="376" spans="1:21" ht="15">
      <c r="A376" s="253"/>
      <c r="B376" s="253"/>
      <c r="C376" s="253"/>
      <c r="D376" s="253"/>
      <c r="E376" s="115"/>
      <c r="F376" s="275"/>
      <c r="G376" s="275"/>
      <c r="H376" s="275"/>
      <c r="I376" s="115"/>
      <c r="J376" s="115"/>
      <c r="K376" s="276"/>
      <c r="L376" s="115"/>
      <c r="M376" s="115"/>
      <c r="N376" s="115"/>
      <c r="O376" s="115"/>
      <c r="P376" s="254"/>
      <c r="Q376" s="254"/>
      <c r="R376" s="254"/>
      <c r="T376" s="254"/>
      <c r="U376" s="254"/>
    </row>
    <row r="377" spans="1:21" ht="15">
      <c r="A377" s="253"/>
      <c r="B377" s="253"/>
      <c r="C377" s="253"/>
      <c r="D377" s="253"/>
      <c r="E377" s="115"/>
      <c r="F377" s="275"/>
      <c r="G377" s="275"/>
      <c r="H377" s="275"/>
      <c r="I377" s="115"/>
      <c r="J377" s="115"/>
      <c r="K377" s="276"/>
      <c r="L377" s="115"/>
      <c r="M377" s="115"/>
      <c r="N377" s="115"/>
      <c r="O377" s="115"/>
      <c r="P377" s="254"/>
      <c r="Q377" s="254"/>
      <c r="R377" s="254"/>
      <c r="T377" s="254"/>
      <c r="U377" s="254"/>
    </row>
    <row r="378" spans="1:21" ht="15">
      <c r="A378" s="253"/>
      <c r="B378" s="253"/>
      <c r="C378" s="253"/>
      <c r="D378" s="253"/>
      <c r="E378" s="115"/>
      <c r="F378" s="275"/>
      <c r="G378" s="275"/>
      <c r="H378" s="275"/>
      <c r="I378" s="115"/>
      <c r="J378" s="115"/>
      <c r="K378" s="276"/>
      <c r="L378" s="115"/>
      <c r="M378" s="115"/>
      <c r="N378" s="115"/>
      <c r="O378" s="115"/>
      <c r="P378" s="254"/>
      <c r="Q378" s="254"/>
      <c r="R378" s="254"/>
      <c r="T378" s="254"/>
      <c r="U378" s="254"/>
    </row>
    <row r="379" spans="1:21" ht="15">
      <c r="A379" s="253"/>
      <c r="B379" s="253"/>
      <c r="C379" s="253"/>
      <c r="D379" s="253"/>
      <c r="E379" s="115"/>
      <c r="F379" s="275"/>
      <c r="G379" s="275"/>
      <c r="H379" s="275"/>
      <c r="I379" s="115"/>
      <c r="J379" s="115"/>
      <c r="K379" s="276"/>
      <c r="L379" s="115"/>
      <c r="M379" s="115"/>
      <c r="N379" s="115"/>
      <c r="O379" s="115"/>
      <c r="P379" s="254"/>
      <c r="Q379" s="254"/>
      <c r="R379" s="254"/>
      <c r="T379" s="254"/>
      <c r="U379" s="254"/>
    </row>
    <row r="380" spans="1:21" ht="15">
      <c r="A380" s="253"/>
      <c r="B380" s="253"/>
      <c r="C380" s="253"/>
      <c r="D380" s="253"/>
      <c r="E380" s="115"/>
      <c r="F380" s="275"/>
      <c r="G380" s="275"/>
      <c r="H380" s="275"/>
      <c r="I380" s="115"/>
      <c r="J380" s="115"/>
      <c r="K380" s="276"/>
      <c r="L380" s="115"/>
      <c r="M380" s="115"/>
      <c r="N380" s="115"/>
      <c r="O380" s="115"/>
      <c r="P380" s="254"/>
      <c r="Q380" s="254"/>
      <c r="R380" s="254"/>
      <c r="T380" s="254"/>
      <c r="U380" s="254"/>
    </row>
    <row r="381" spans="1:21" ht="15">
      <c r="A381" s="253"/>
      <c r="B381" s="253"/>
      <c r="C381" s="253"/>
      <c r="D381" s="253"/>
      <c r="E381" s="115"/>
      <c r="F381" s="275"/>
      <c r="G381" s="275"/>
      <c r="H381" s="275"/>
      <c r="I381" s="115"/>
      <c r="J381" s="115"/>
      <c r="K381" s="276"/>
      <c r="L381" s="115"/>
      <c r="M381" s="115"/>
      <c r="N381" s="115"/>
      <c r="O381" s="115"/>
      <c r="P381" s="254"/>
      <c r="Q381" s="254"/>
      <c r="R381" s="254"/>
      <c r="T381" s="254"/>
      <c r="U381" s="254"/>
    </row>
    <row r="382" spans="1:21" ht="15">
      <c r="A382" s="253"/>
      <c r="B382" s="253"/>
      <c r="C382" s="253"/>
      <c r="D382" s="253"/>
      <c r="E382" s="115"/>
      <c r="F382" s="275"/>
      <c r="G382" s="275"/>
      <c r="H382" s="275"/>
      <c r="I382" s="115"/>
      <c r="J382" s="115"/>
      <c r="K382" s="276"/>
      <c r="L382" s="115"/>
      <c r="M382" s="115"/>
      <c r="N382" s="115"/>
      <c r="O382" s="115"/>
      <c r="P382" s="254"/>
      <c r="Q382" s="254"/>
      <c r="R382" s="254"/>
      <c r="T382" s="254"/>
      <c r="U382" s="254"/>
    </row>
    <row r="383" spans="1:21" ht="15">
      <c r="A383" s="253"/>
      <c r="B383" s="253"/>
      <c r="C383" s="253"/>
      <c r="D383" s="253"/>
      <c r="E383" s="115"/>
      <c r="F383" s="275"/>
      <c r="G383" s="275"/>
      <c r="H383" s="275"/>
      <c r="I383" s="115"/>
      <c r="J383" s="115"/>
      <c r="K383" s="276"/>
      <c r="L383" s="115"/>
      <c r="M383" s="115"/>
      <c r="N383" s="115"/>
      <c r="O383" s="115"/>
      <c r="P383" s="254"/>
      <c r="Q383" s="254"/>
      <c r="R383" s="254"/>
      <c r="T383" s="254"/>
      <c r="U383" s="254"/>
    </row>
    <row r="384" spans="1:21" ht="15">
      <c r="A384" s="253"/>
      <c r="B384" s="253"/>
      <c r="C384" s="253"/>
      <c r="D384" s="253"/>
      <c r="E384" s="115"/>
      <c r="F384" s="275"/>
      <c r="G384" s="275"/>
      <c r="H384" s="275"/>
      <c r="I384" s="115"/>
      <c r="J384" s="115"/>
      <c r="K384" s="276"/>
      <c r="L384" s="115"/>
      <c r="M384" s="115"/>
      <c r="N384" s="115"/>
      <c r="O384" s="115"/>
      <c r="P384" s="254"/>
      <c r="Q384" s="254"/>
      <c r="R384" s="254"/>
      <c r="T384" s="254"/>
      <c r="U384" s="254"/>
    </row>
    <row r="385" spans="1:21" ht="15">
      <c r="A385" s="253"/>
      <c r="B385" s="253"/>
      <c r="C385" s="253"/>
      <c r="D385" s="253"/>
      <c r="E385" s="115"/>
      <c r="F385" s="275"/>
      <c r="G385" s="275"/>
      <c r="H385" s="275"/>
      <c r="I385" s="115"/>
      <c r="J385" s="115"/>
      <c r="K385" s="276"/>
      <c r="L385" s="115"/>
      <c r="M385" s="115"/>
      <c r="N385" s="115"/>
      <c r="O385" s="115"/>
      <c r="P385" s="254"/>
      <c r="Q385" s="254"/>
      <c r="R385" s="254"/>
      <c r="T385" s="254"/>
      <c r="U385" s="254"/>
    </row>
    <row r="386" spans="1:21" ht="15">
      <c r="A386" s="253"/>
      <c r="B386" s="253"/>
      <c r="C386" s="253"/>
      <c r="D386" s="253"/>
      <c r="E386" s="115"/>
      <c r="F386" s="275"/>
      <c r="G386" s="275"/>
      <c r="H386" s="275"/>
      <c r="I386" s="115"/>
      <c r="J386" s="115"/>
      <c r="K386" s="276"/>
      <c r="L386" s="115"/>
      <c r="M386" s="115"/>
      <c r="N386" s="115"/>
      <c r="O386" s="115"/>
      <c r="P386" s="254"/>
      <c r="Q386" s="254"/>
      <c r="R386" s="254"/>
      <c r="T386" s="254"/>
      <c r="U386" s="254"/>
    </row>
    <row r="387" spans="1:21" ht="15">
      <c r="A387" s="253"/>
      <c r="B387" s="253"/>
      <c r="C387" s="253"/>
      <c r="D387" s="253"/>
      <c r="E387" s="115"/>
      <c r="F387" s="275"/>
      <c r="G387" s="275"/>
      <c r="H387" s="275"/>
      <c r="I387" s="115"/>
      <c r="J387" s="115"/>
      <c r="K387" s="276"/>
      <c r="L387" s="115"/>
      <c r="M387" s="115"/>
      <c r="N387" s="115"/>
      <c r="O387" s="115"/>
      <c r="P387" s="254"/>
      <c r="Q387" s="254"/>
      <c r="R387" s="254"/>
      <c r="T387" s="254"/>
      <c r="U387" s="254"/>
    </row>
    <row r="388" spans="1:21" ht="15">
      <c r="A388" s="253"/>
      <c r="B388" s="253"/>
      <c r="C388" s="253"/>
      <c r="D388" s="253"/>
      <c r="E388" s="115"/>
      <c r="F388" s="275"/>
      <c r="G388" s="275"/>
      <c r="H388" s="275"/>
      <c r="I388" s="115"/>
      <c r="J388" s="115"/>
      <c r="K388" s="276"/>
      <c r="L388" s="115"/>
      <c r="M388" s="115"/>
      <c r="N388" s="115"/>
      <c r="O388" s="115"/>
      <c r="P388" s="254"/>
      <c r="Q388" s="254"/>
      <c r="R388" s="254"/>
      <c r="T388" s="254"/>
      <c r="U388" s="254"/>
    </row>
    <row r="389" spans="1:21" ht="15">
      <c r="A389" s="253"/>
      <c r="B389" s="253"/>
      <c r="C389" s="253"/>
      <c r="D389" s="253"/>
      <c r="E389" s="115"/>
      <c r="F389" s="275"/>
      <c r="G389" s="275"/>
      <c r="H389" s="275"/>
      <c r="I389" s="115"/>
      <c r="J389" s="115"/>
      <c r="K389" s="276"/>
      <c r="L389" s="115"/>
      <c r="M389" s="115"/>
      <c r="N389" s="115"/>
      <c r="O389" s="115"/>
      <c r="P389" s="254"/>
      <c r="Q389" s="254"/>
      <c r="R389" s="254"/>
      <c r="T389" s="254"/>
      <c r="U389" s="254"/>
    </row>
    <row r="390" spans="1:21" ht="15">
      <c r="A390" s="253"/>
      <c r="B390" s="253"/>
      <c r="C390" s="253"/>
      <c r="D390" s="253"/>
      <c r="E390" s="115"/>
      <c r="F390" s="275"/>
      <c r="G390" s="275"/>
      <c r="H390" s="275"/>
      <c r="I390" s="115"/>
      <c r="J390" s="115"/>
      <c r="K390" s="276"/>
      <c r="L390" s="115"/>
      <c r="M390" s="115"/>
      <c r="N390" s="115"/>
      <c r="O390" s="115"/>
      <c r="P390" s="254"/>
      <c r="Q390" s="254"/>
      <c r="R390" s="254"/>
      <c r="T390" s="254"/>
      <c r="U390" s="254"/>
    </row>
    <row r="391" spans="1:21" ht="15">
      <c r="A391" s="253"/>
      <c r="B391" s="253"/>
      <c r="C391" s="253"/>
      <c r="D391" s="253"/>
      <c r="E391" s="115"/>
      <c r="F391" s="275"/>
      <c r="G391" s="275"/>
      <c r="H391" s="275"/>
      <c r="I391" s="115"/>
      <c r="J391" s="115"/>
      <c r="K391" s="276"/>
      <c r="L391" s="115"/>
      <c r="M391" s="115"/>
      <c r="N391" s="115"/>
      <c r="O391" s="115"/>
      <c r="P391" s="254"/>
      <c r="Q391" s="254"/>
      <c r="R391" s="254"/>
      <c r="T391" s="254"/>
      <c r="U391" s="254"/>
    </row>
    <row r="392" spans="1:21" ht="15">
      <c r="A392" s="253"/>
      <c r="B392" s="253"/>
      <c r="C392" s="253"/>
      <c r="D392" s="253"/>
      <c r="E392" s="115"/>
      <c r="F392" s="275"/>
      <c r="G392" s="275"/>
      <c r="H392" s="275"/>
      <c r="I392" s="115"/>
      <c r="J392" s="115"/>
      <c r="K392" s="276"/>
      <c r="L392" s="115"/>
      <c r="M392" s="115"/>
      <c r="N392" s="115"/>
      <c r="O392" s="115"/>
      <c r="P392" s="254"/>
      <c r="Q392" s="254"/>
      <c r="R392" s="254"/>
      <c r="T392" s="254"/>
      <c r="U392" s="254"/>
    </row>
    <row r="393" spans="1:21" ht="15">
      <c r="A393" s="253"/>
      <c r="B393" s="253"/>
      <c r="C393" s="253"/>
      <c r="D393" s="253"/>
      <c r="E393" s="115"/>
      <c r="F393" s="275"/>
      <c r="G393" s="275"/>
      <c r="H393" s="275"/>
      <c r="I393" s="115"/>
      <c r="J393" s="115"/>
      <c r="K393" s="276"/>
      <c r="L393" s="115"/>
      <c r="M393" s="115"/>
      <c r="N393" s="115"/>
      <c r="O393" s="115"/>
      <c r="P393" s="254"/>
      <c r="Q393" s="254"/>
      <c r="R393" s="254"/>
      <c r="T393" s="254"/>
      <c r="U393" s="254"/>
    </row>
    <row r="394" spans="1:21" ht="15">
      <c r="A394" s="253"/>
      <c r="B394" s="253"/>
      <c r="C394" s="253"/>
      <c r="D394" s="253"/>
      <c r="E394" s="115"/>
      <c r="F394" s="275"/>
      <c r="G394" s="275"/>
      <c r="H394" s="275"/>
      <c r="I394" s="115"/>
      <c r="J394" s="115"/>
      <c r="K394" s="276"/>
      <c r="L394" s="115"/>
      <c r="M394" s="115"/>
      <c r="N394" s="115"/>
      <c r="O394" s="115"/>
      <c r="P394" s="254"/>
      <c r="Q394" s="254"/>
      <c r="R394" s="254"/>
      <c r="T394" s="254"/>
      <c r="U394" s="254"/>
    </row>
    <row r="395" spans="1:21" ht="15">
      <c r="A395" s="253"/>
      <c r="B395" s="253"/>
      <c r="C395" s="253"/>
      <c r="D395" s="253"/>
      <c r="E395" s="115"/>
      <c r="F395" s="275"/>
      <c r="G395" s="275"/>
      <c r="H395" s="275"/>
      <c r="I395" s="115"/>
      <c r="J395" s="115"/>
      <c r="K395" s="276"/>
      <c r="L395" s="115"/>
      <c r="M395" s="115"/>
      <c r="N395" s="115"/>
      <c r="O395" s="115"/>
      <c r="P395" s="254"/>
      <c r="Q395" s="254"/>
      <c r="R395" s="254"/>
      <c r="T395" s="254"/>
      <c r="U395" s="254"/>
    </row>
    <row r="396" spans="1:21" ht="15">
      <c r="A396" s="253"/>
      <c r="B396" s="253"/>
      <c r="C396" s="253"/>
      <c r="D396" s="253"/>
      <c r="E396" s="115"/>
      <c r="F396" s="275"/>
      <c r="G396" s="275"/>
      <c r="H396" s="275"/>
      <c r="I396" s="115"/>
      <c r="J396" s="115"/>
      <c r="K396" s="276"/>
      <c r="L396" s="115"/>
      <c r="M396" s="115"/>
      <c r="N396" s="115"/>
      <c r="O396" s="115"/>
      <c r="P396" s="254"/>
      <c r="Q396" s="254"/>
      <c r="R396" s="254"/>
      <c r="T396" s="254"/>
      <c r="U396" s="254"/>
    </row>
    <row r="397" spans="1:21" ht="15">
      <c r="A397" s="253"/>
      <c r="B397" s="253"/>
      <c r="C397" s="253"/>
      <c r="D397" s="253"/>
      <c r="E397" s="115"/>
      <c r="F397" s="275"/>
      <c r="G397" s="275"/>
      <c r="H397" s="275"/>
      <c r="I397" s="115"/>
      <c r="J397" s="115"/>
      <c r="K397" s="276"/>
      <c r="L397" s="115"/>
      <c r="M397" s="115"/>
      <c r="N397" s="115"/>
      <c r="O397" s="115"/>
      <c r="P397" s="254"/>
      <c r="Q397" s="254"/>
      <c r="R397" s="254"/>
      <c r="T397" s="254"/>
      <c r="U397" s="254"/>
    </row>
    <row r="398" spans="1:21" ht="15">
      <c r="A398" s="253"/>
      <c r="B398" s="253"/>
      <c r="C398" s="253"/>
      <c r="D398" s="253"/>
      <c r="E398" s="115"/>
      <c r="F398" s="275"/>
      <c r="G398" s="275"/>
      <c r="H398" s="275"/>
      <c r="I398" s="115"/>
      <c r="J398" s="115"/>
      <c r="K398" s="276"/>
      <c r="L398" s="115"/>
      <c r="M398" s="115"/>
      <c r="N398" s="115"/>
      <c r="O398" s="115"/>
      <c r="P398" s="254"/>
      <c r="Q398" s="254"/>
      <c r="R398" s="254"/>
      <c r="T398" s="254"/>
      <c r="U398" s="254"/>
    </row>
    <row r="399" spans="1:21" ht="15">
      <c r="A399" s="253"/>
      <c r="B399" s="253"/>
      <c r="C399" s="253"/>
      <c r="D399" s="253"/>
      <c r="E399" s="115"/>
      <c r="F399" s="275"/>
      <c r="G399" s="275"/>
      <c r="H399" s="275"/>
      <c r="I399" s="115"/>
      <c r="J399" s="115"/>
      <c r="K399" s="276"/>
      <c r="L399" s="115"/>
      <c r="M399" s="115"/>
      <c r="N399" s="115"/>
      <c r="O399" s="115"/>
      <c r="P399" s="254"/>
      <c r="Q399" s="254"/>
      <c r="R399" s="254"/>
      <c r="T399" s="254"/>
      <c r="U399" s="254"/>
    </row>
    <row r="400" spans="1:21" ht="15">
      <c r="A400" s="253"/>
      <c r="B400" s="253"/>
      <c r="C400" s="253"/>
      <c r="D400" s="253"/>
      <c r="E400" s="115"/>
      <c r="F400" s="275"/>
      <c r="G400" s="275"/>
      <c r="H400" s="275"/>
      <c r="I400" s="115"/>
      <c r="J400" s="115"/>
      <c r="K400" s="276"/>
      <c r="L400" s="115"/>
      <c r="M400" s="115"/>
      <c r="N400" s="115"/>
      <c r="O400" s="115"/>
      <c r="P400" s="254"/>
      <c r="Q400" s="254"/>
      <c r="R400" s="254"/>
      <c r="T400" s="254"/>
      <c r="U400" s="254"/>
    </row>
    <row r="401" spans="1:21" ht="15">
      <c r="A401" s="253"/>
      <c r="B401" s="253"/>
      <c r="C401" s="253"/>
      <c r="D401" s="253"/>
      <c r="E401" s="115"/>
      <c r="F401" s="275"/>
      <c r="G401" s="275"/>
      <c r="H401" s="275"/>
      <c r="I401" s="115"/>
      <c r="J401" s="115"/>
      <c r="K401" s="276"/>
      <c r="L401" s="115"/>
      <c r="M401" s="115"/>
      <c r="N401" s="115"/>
      <c r="O401" s="115"/>
      <c r="P401" s="254"/>
      <c r="Q401" s="254"/>
      <c r="R401" s="254"/>
      <c r="T401" s="254"/>
      <c r="U401" s="254"/>
    </row>
    <row r="402" spans="1:21" ht="15">
      <c r="A402" s="253"/>
      <c r="B402" s="253"/>
      <c r="C402" s="253"/>
      <c r="D402" s="253"/>
      <c r="E402" s="115"/>
      <c r="F402" s="275"/>
      <c r="G402" s="275"/>
      <c r="H402" s="275"/>
      <c r="I402" s="115"/>
      <c r="J402" s="115"/>
      <c r="K402" s="276"/>
      <c r="L402" s="115"/>
      <c r="M402" s="115"/>
      <c r="N402" s="115"/>
      <c r="O402" s="115"/>
      <c r="P402" s="254"/>
      <c r="Q402" s="254"/>
      <c r="R402" s="254"/>
      <c r="T402" s="254"/>
      <c r="U402" s="254"/>
    </row>
    <row r="403" spans="1:21" ht="15">
      <c r="A403" s="253"/>
      <c r="B403" s="253"/>
      <c r="C403" s="253"/>
      <c r="D403" s="253"/>
      <c r="E403" s="115"/>
      <c r="F403" s="275"/>
      <c r="G403" s="275"/>
      <c r="H403" s="275"/>
      <c r="I403" s="115"/>
      <c r="J403" s="115"/>
      <c r="K403" s="276"/>
      <c r="L403" s="115"/>
      <c r="M403" s="115"/>
      <c r="N403" s="115"/>
      <c r="O403" s="115"/>
      <c r="P403" s="254"/>
      <c r="Q403" s="254"/>
      <c r="R403" s="254"/>
      <c r="T403" s="254"/>
      <c r="U403" s="254"/>
    </row>
    <row r="404" spans="1:21" ht="15">
      <c r="A404" s="253"/>
      <c r="B404" s="253"/>
      <c r="C404" s="253"/>
      <c r="D404" s="253"/>
      <c r="E404" s="115"/>
      <c r="F404" s="275"/>
      <c r="G404" s="275"/>
      <c r="H404" s="275"/>
      <c r="I404" s="115"/>
      <c r="J404" s="115"/>
      <c r="K404" s="276"/>
      <c r="L404" s="115"/>
      <c r="M404" s="115"/>
      <c r="N404" s="115"/>
      <c r="O404" s="115"/>
      <c r="P404" s="254"/>
      <c r="Q404" s="254"/>
      <c r="R404" s="254"/>
      <c r="T404" s="254"/>
      <c r="U404" s="254"/>
    </row>
    <row r="405" spans="1:21" ht="15">
      <c r="A405" s="253"/>
      <c r="B405" s="253"/>
      <c r="C405" s="253"/>
      <c r="D405" s="253"/>
      <c r="E405" s="115"/>
      <c r="F405" s="275"/>
      <c r="G405" s="275"/>
      <c r="H405" s="275"/>
      <c r="I405" s="115"/>
      <c r="J405" s="115"/>
      <c r="K405" s="276"/>
      <c r="L405" s="115"/>
      <c r="M405" s="115"/>
      <c r="N405" s="115"/>
      <c r="O405" s="115"/>
      <c r="P405" s="254"/>
      <c r="Q405" s="254"/>
      <c r="R405" s="254"/>
      <c r="T405" s="254"/>
      <c r="U405" s="254"/>
    </row>
    <row r="406" spans="1:21" ht="15">
      <c r="A406" s="253"/>
      <c r="B406" s="253"/>
      <c r="C406" s="253"/>
      <c r="D406" s="253"/>
      <c r="E406" s="115"/>
      <c r="F406" s="275"/>
      <c r="G406" s="275"/>
      <c r="H406" s="275"/>
      <c r="I406" s="115"/>
      <c r="J406" s="115"/>
      <c r="K406" s="276"/>
      <c r="L406" s="115"/>
      <c r="M406" s="115"/>
      <c r="N406" s="115"/>
      <c r="O406" s="115"/>
      <c r="P406" s="254"/>
      <c r="Q406" s="254"/>
      <c r="R406" s="254"/>
      <c r="T406" s="254"/>
      <c r="U406" s="254"/>
    </row>
    <row r="407" spans="1:21" ht="15">
      <c r="A407" s="253"/>
      <c r="B407" s="253"/>
      <c r="C407" s="253"/>
      <c r="D407" s="253"/>
      <c r="E407" s="115"/>
      <c r="F407" s="275"/>
      <c r="G407" s="275"/>
      <c r="H407" s="275"/>
      <c r="I407" s="115"/>
      <c r="J407" s="115"/>
      <c r="K407" s="276"/>
      <c r="L407" s="115"/>
      <c r="M407" s="115"/>
      <c r="N407" s="115"/>
      <c r="O407" s="115"/>
      <c r="P407" s="254"/>
      <c r="Q407" s="254"/>
      <c r="R407" s="254"/>
      <c r="T407" s="254"/>
      <c r="U407" s="254"/>
    </row>
    <row r="408" spans="1:21" ht="15">
      <c r="A408" s="253"/>
      <c r="B408" s="253"/>
      <c r="C408" s="253"/>
      <c r="D408" s="253"/>
      <c r="E408" s="115"/>
      <c r="F408" s="275"/>
      <c r="G408" s="275"/>
      <c r="H408" s="275"/>
      <c r="I408" s="115"/>
      <c r="J408" s="115"/>
      <c r="K408" s="276"/>
      <c r="L408" s="115"/>
      <c r="M408" s="115"/>
      <c r="N408" s="115"/>
      <c r="O408" s="115"/>
      <c r="P408" s="254"/>
      <c r="Q408" s="254"/>
      <c r="R408" s="254"/>
      <c r="T408" s="254"/>
      <c r="U408" s="254"/>
    </row>
    <row r="409" spans="1:21" ht="15">
      <c r="A409" s="253"/>
      <c r="B409" s="253"/>
      <c r="C409" s="253"/>
      <c r="D409" s="253"/>
      <c r="E409" s="115"/>
      <c r="F409" s="275"/>
      <c r="G409" s="275"/>
      <c r="H409" s="275"/>
      <c r="I409" s="115"/>
      <c r="J409" s="115"/>
      <c r="K409" s="276"/>
      <c r="L409" s="115"/>
      <c r="M409" s="115"/>
      <c r="N409" s="115"/>
      <c r="O409" s="115"/>
      <c r="P409" s="254"/>
      <c r="Q409" s="254"/>
      <c r="R409" s="254"/>
      <c r="T409" s="254"/>
      <c r="U409" s="254"/>
    </row>
    <row r="410" spans="1:21" ht="15">
      <c r="A410" s="253"/>
      <c r="B410" s="253"/>
      <c r="C410" s="253"/>
      <c r="D410" s="253"/>
      <c r="E410" s="115"/>
      <c r="F410" s="275"/>
      <c r="G410" s="275"/>
      <c r="H410" s="275"/>
      <c r="I410" s="115"/>
      <c r="J410" s="115"/>
      <c r="K410" s="276"/>
      <c r="L410" s="115"/>
      <c r="M410" s="115"/>
      <c r="N410" s="115"/>
      <c r="O410" s="115"/>
      <c r="P410" s="254"/>
      <c r="Q410" s="254"/>
      <c r="R410" s="254"/>
      <c r="T410" s="254"/>
      <c r="U410" s="254"/>
    </row>
    <row r="411" spans="1:21" ht="15">
      <c r="A411" s="253"/>
      <c r="B411" s="253"/>
      <c r="C411" s="253"/>
      <c r="D411" s="253"/>
      <c r="E411" s="115"/>
      <c r="F411" s="275"/>
      <c r="G411" s="275"/>
      <c r="H411" s="275"/>
      <c r="I411" s="115"/>
      <c r="J411" s="115"/>
      <c r="K411" s="276"/>
      <c r="L411" s="115"/>
      <c r="M411" s="115"/>
      <c r="N411" s="115"/>
      <c r="O411" s="115"/>
      <c r="P411" s="254"/>
      <c r="Q411" s="254"/>
      <c r="R411" s="254"/>
      <c r="T411" s="254"/>
      <c r="U411" s="254"/>
    </row>
    <row r="412" spans="1:21" ht="15">
      <c r="A412" s="253"/>
      <c r="B412" s="253"/>
      <c r="C412" s="253"/>
      <c r="D412" s="253"/>
      <c r="E412" s="115"/>
      <c r="F412" s="275"/>
      <c r="G412" s="275"/>
      <c r="H412" s="275"/>
      <c r="I412" s="115"/>
      <c r="J412" s="115"/>
      <c r="K412" s="276"/>
      <c r="L412" s="115"/>
      <c r="M412" s="115"/>
      <c r="N412" s="115"/>
      <c r="O412" s="115"/>
      <c r="P412" s="254"/>
      <c r="Q412" s="254"/>
      <c r="R412" s="254"/>
      <c r="T412" s="254"/>
      <c r="U412" s="254"/>
    </row>
    <row r="413" spans="1:21" ht="15">
      <c r="A413" s="253"/>
      <c r="B413" s="253"/>
      <c r="C413" s="253"/>
      <c r="D413" s="253"/>
      <c r="E413" s="115"/>
      <c r="F413" s="275"/>
      <c r="G413" s="275"/>
      <c r="H413" s="275"/>
      <c r="I413" s="115"/>
      <c r="J413" s="115"/>
      <c r="K413" s="276"/>
      <c r="L413" s="115"/>
      <c r="M413" s="115"/>
      <c r="N413" s="115"/>
      <c r="O413" s="115"/>
      <c r="P413" s="254"/>
      <c r="Q413" s="254"/>
      <c r="R413" s="254"/>
      <c r="T413" s="254"/>
      <c r="U413" s="254"/>
    </row>
    <row r="414" spans="1:21" ht="15">
      <c r="A414" s="253"/>
      <c r="B414" s="253"/>
      <c r="C414" s="253"/>
      <c r="D414" s="253"/>
      <c r="E414" s="115"/>
      <c r="F414" s="275"/>
      <c r="G414" s="275"/>
      <c r="H414" s="275"/>
      <c r="I414" s="115"/>
      <c r="J414" s="115"/>
      <c r="K414" s="276"/>
      <c r="L414" s="115"/>
      <c r="M414" s="115"/>
      <c r="N414" s="115"/>
      <c r="O414" s="115"/>
      <c r="P414" s="254"/>
      <c r="Q414" s="254"/>
      <c r="R414" s="254"/>
      <c r="T414" s="254"/>
      <c r="U414" s="254"/>
    </row>
    <row r="415" spans="1:21" ht="15">
      <c r="A415" s="253"/>
      <c r="B415" s="253"/>
      <c r="C415" s="253"/>
      <c r="D415" s="253"/>
      <c r="E415" s="115"/>
      <c r="F415" s="275"/>
      <c r="G415" s="275"/>
      <c r="H415" s="275"/>
      <c r="I415" s="115"/>
      <c r="J415" s="115"/>
      <c r="K415" s="276"/>
      <c r="L415" s="115"/>
      <c r="M415" s="115"/>
      <c r="N415" s="115"/>
      <c r="O415" s="115"/>
      <c r="P415" s="254"/>
      <c r="Q415" s="254"/>
      <c r="R415" s="254"/>
      <c r="T415" s="254"/>
      <c r="U415" s="254"/>
    </row>
    <row r="416" spans="1:21" ht="15">
      <c r="A416" s="253"/>
      <c r="B416" s="253"/>
      <c r="C416" s="253"/>
      <c r="D416" s="253"/>
      <c r="E416" s="115"/>
      <c r="F416" s="275"/>
      <c r="G416" s="275"/>
      <c r="H416" s="275"/>
      <c r="I416" s="115"/>
      <c r="J416" s="115"/>
      <c r="K416" s="276"/>
      <c r="L416" s="115"/>
      <c r="M416" s="115"/>
      <c r="N416" s="115"/>
      <c r="O416" s="115"/>
      <c r="P416" s="254"/>
      <c r="Q416" s="254"/>
      <c r="R416" s="254"/>
      <c r="T416" s="254"/>
      <c r="U416" s="254"/>
    </row>
    <row r="417" spans="1:21" ht="15">
      <c r="A417" s="253"/>
      <c r="B417" s="253"/>
      <c r="C417" s="253"/>
      <c r="D417" s="253"/>
      <c r="E417" s="115"/>
      <c r="F417" s="275"/>
      <c r="G417" s="275"/>
      <c r="H417" s="275"/>
      <c r="I417" s="115"/>
      <c r="J417" s="115"/>
      <c r="K417" s="276"/>
      <c r="L417" s="115"/>
      <c r="M417" s="115"/>
      <c r="N417" s="115"/>
      <c r="O417" s="115"/>
      <c r="P417" s="254"/>
      <c r="Q417" s="254"/>
      <c r="R417" s="254"/>
      <c r="T417" s="254"/>
      <c r="U417" s="254"/>
    </row>
    <row r="418" spans="1:21" ht="15">
      <c r="A418" s="253"/>
      <c r="B418" s="253"/>
      <c r="C418" s="253"/>
      <c r="D418" s="253"/>
      <c r="E418" s="115"/>
      <c r="F418" s="275"/>
      <c r="G418" s="275"/>
      <c r="H418" s="275"/>
      <c r="I418" s="115"/>
      <c r="J418" s="115"/>
      <c r="K418" s="276"/>
      <c r="L418" s="115"/>
      <c r="M418" s="115"/>
      <c r="N418" s="115"/>
      <c r="O418" s="115"/>
      <c r="P418" s="254"/>
      <c r="Q418" s="254"/>
      <c r="R418" s="254"/>
      <c r="T418" s="254"/>
      <c r="U418" s="254"/>
    </row>
    <row r="419" spans="1:21" ht="15">
      <c r="A419" s="253"/>
      <c r="B419" s="253"/>
      <c r="C419" s="253"/>
      <c r="D419" s="253"/>
      <c r="E419" s="115"/>
      <c r="F419" s="275"/>
      <c r="G419" s="275"/>
      <c r="H419" s="275"/>
      <c r="I419" s="115"/>
      <c r="J419" s="115"/>
      <c r="K419" s="276"/>
      <c r="L419" s="115"/>
      <c r="M419" s="115"/>
      <c r="N419" s="115"/>
      <c r="O419" s="115"/>
      <c r="P419" s="254"/>
      <c r="Q419" s="254"/>
      <c r="R419" s="254"/>
      <c r="T419" s="254"/>
      <c r="U419" s="254"/>
    </row>
    <row r="420" spans="1:21" ht="15">
      <c r="A420" s="253"/>
      <c r="B420" s="253"/>
      <c r="C420" s="253"/>
      <c r="D420" s="253"/>
      <c r="E420" s="115"/>
      <c r="F420" s="275"/>
      <c r="G420" s="275"/>
      <c r="H420" s="275"/>
      <c r="I420" s="115"/>
      <c r="J420" s="115"/>
      <c r="K420" s="276"/>
      <c r="L420" s="115"/>
      <c r="M420" s="115"/>
      <c r="N420" s="115"/>
      <c r="O420" s="115"/>
      <c r="P420" s="254"/>
      <c r="Q420" s="254"/>
      <c r="R420" s="254"/>
      <c r="T420" s="254"/>
      <c r="U420" s="254"/>
    </row>
    <row r="421" spans="1:21" ht="15">
      <c r="A421" s="253"/>
      <c r="B421" s="253"/>
      <c r="C421" s="253"/>
      <c r="D421" s="253"/>
      <c r="E421" s="115"/>
      <c r="F421" s="275"/>
      <c r="G421" s="275"/>
      <c r="H421" s="275"/>
      <c r="I421" s="115"/>
      <c r="J421" s="115"/>
      <c r="K421" s="276"/>
      <c r="L421" s="115"/>
      <c r="M421" s="115"/>
      <c r="N421" s="115"/>
      <c r="O421" s="115"/>
      <c r="P421" s="254"/>
      <c r="Q421" s="254"/>
      <c r="R421" s="254"/>
      <c r="T421" s="254"/>
      <c r="U421" s="254"/>
    </row>
    <row r="422" spans="1:21" ht="15">
      <c r="A422" s="253"/>
      <c r="B422" s="253"/>
      <c r="C422" s="253"/>
      <c r="D422" s="253"/>
      <c r="E422" s="115"/>
      <c r="F422" s="275"/>
      <c r="G422" s="275"/>
      <c r="H422" s="275"/>
      <c r="I422" s="115"/>
      <c r="J422" s="115"/>
      <c r="K422" s="276"/>
      <c r="L422" s="115"/>
      <c r="M422" s="115"/>
      <c r="N422" s="115"/>
      <c r="O422" s="115"/>
      <c r="P422" s="254"/>
      <c r="Q422" s="254"/>
      <c r="R422" s="254"/>
      <c r="T422" s="254"/>
      <c r="U422" s="254"/>
    </row>
    <row r="423" spans="1:21" ht="15">
      <c r="A423" s="253"/>
      <c r="B423" s="253"/>
      <c r="C423" s="253"/>
      <c r="D423" s="253"/>
      <c r="E423" s="115"/>
      <c r="F423" s="275"/>
      <c r="G423" s="275"/>
      <c r="H423" s="275"/>
      <c r="I423" s="115"/>
      <c r="J423" s="115"/>
      <c r="K423" s="276"/>
      <c r="L423" s="115"/>
      <c r="M423" s="115"/>
      <c r="N423" s="115"/>
      <c r="O423" s="115"/>
      <c r="P423" s="254"/>
      <c r="Q423" s="254"/>
      <c r="R423" s="254"/>
      <c r="T423" s="254"/>
      <c r="U423" s="254"/>
    </row>
    <row r="424" spans="1:21" ht="15">
      <c r="A424" s="253"/>
      <c r="B424" s="253"/>
      <c r="C424" s="253"/>
      <c r="D424" s="253"/>
      <c r="E424" s="115"/>
      <c r="F424" s="275"/>
      <c r="G424" s="275"/>
      <c r="H424" s="275"/>
      <c r="I424" s="115"/>
      <c r="J424" s="115"/>
      <c r="K424" s="276"/>
      <c r="L424" s="115"/>
      <c r="M424" s="115"/>
      <c r="N424" s="115"/>
      <c r="O424" s="115"/>
      <c r="P424" s="254"/>
      <c r="Q424" s="254"/>
      <c r="R424" s="254"/>
      <c r="T424" s="254"/>
      <c r="U424" s="254"/>
    </row>
    <row r="425" spans="1:21" ht="15">
      <c r="A425" s="253"/>
      <c r="B425" s="253"/>
      <c r="C425" s="253"/>
      <c r="D425" s="253"/>
      <c r="E425" s="115"/>
      <c r="F425" s="275"/>
      <c r="G425" s="275"/>
      <c r="H425" s="275"/>
      <c r="I425" s="115"/>
      <c r="J425" s="115"/>
      <c r="K425" s="276"/>
      <c r="L425" s="115"/>
      <c r="M425" s="115"/>
      <c r="N425" s="115"/>
      <c r="O425" s="115"/>
      <c r="P425" s="254"/>
      <c r="Q425" s="254"/>
      <c r="R425" s="254"/>
      <c r="T425" s="254"/>
      <c r="U425" s="254"/>
    </row>
    <row r="426" spans="1:21" ht="15">
      <c r="A426" s="253"/>
      <c r="B426" s="253"/>
      <c r="C426" s="253"/>
      <c r="D426" s="253"/>
      <c r="E426" s="115"/>
      <c r="F426" s="275"/>
      <c r="G426" s="275"/>
      <c r="H426" s="275"/>
      <c r="I426" s="115"/>
      <c r="J426" s="115"/>
      <c r="K426" s="276"/>
      <c r="L426" s="115"/>
      <c r="M426" s="115"/>
      <c r="N426" s="115"/>
      <c r="O426" s="115"/>
      <c r="P426" s="254"/>
      <c r="Q426" s="254"/>
      <c r="R426" s="254"/>
      <c r="T426" s="254"/>
      <c r="U426" s="254"/>
    </row>
    <row r="427" spans="1:21" ht="15">
      <c r="A427" s="253"/>
      <c r="B427" s="253"/>
      <c r="C427" s="253"/>
      <c r="D427" s="253"/>
      <c r="E427" s="115"/>
      <c r="F427" s="275"/>
      <c r="G427" s="275"/>
      <c r="H427" s="275"/>
      <c r="I427" s="115"/>
      <c r="J427" s="115"/>
      <c r="K427" s="276"/>
      <c r="L427" s="115"/>
      <c r="M427" s="115"/>
      <c r="N427" s="115"/>
      <c r="O427" s="115"/>
      <c r="P427" s="254"/>
      <c r="Q427" s="254"/>
      <c r="R427" s="254"/>
      <c r="T427" s="254"/>
      <c r="U427" s="254"/>
    </row>
    <row r="428" spans="1:21" ht="15">
      <c r="A428" s="253"/>
      <c r="B428" s="253"/>
      <c r="C428" s="253"/>
      <c r="D428" s="253"/>
      <c r="E428" s="115"/>
      <c r="F428" s="275"/>
      <c r="G428" s="275"/>
      <c r="H428" s="275"/>
      <c r="I428" s="115"/>
      <c r="J428" s="115"/>
      <c r="K428" s="276"/>
      <c r="L428" s="115"/>
      <c r="M428" s="115"/>
      <c r="N428" s="115"/>
      <c r="O428" s="115"/>
      <c r="P428" s="254"/>
      <c r="Q428" s="254"/>
      <c r="R428" s="254"/>
      <c r="T428" s="254"/>
      <c r="U428" s="254"/>
    </row>
    <row r="429" spans="1:21" ht="15">
      <c r="A429" s="253"/>
      <c r="B429" s="253"/>
      <c r="C429" s="253"/>
      <c r="D429" s="253"/>
      <c r="E429" s="115"/>
      <c r="F429" s="275"/>
      <c r="G429" s="275"/>
      <c r="H429" s="275"/>
      <c r="I429" s="115"/>
      <c r="J429" s="115"/>
      <c r="K429" s="276"/>
      <c r="L429" s="115"/>
      <c r="M429" s="115"/>
      <c r="N429" s="115"/>
      <c r="O429" s="115"/>
      <c r="P429" s="254"/>
      <c r="Q429" s="254"/>
      <c r="R429" s="254"/>
      <c r="T429" s="254"/>
      <c r="U429" s="254"/>
    </row>
    <row r="430" spans="1:21" ht="15">
      <c r="A430" s="253"/>
      <c r="B430" s="253"/>
      <c r="C430" s="253"/>
      <c r="D430" s="253"/>
      <c r="E430" s="115"/>
      <c r="F430" s="275"/>
      <c r="G430" s="275"/>
      <c r="H430" s="275"/>
      <c r="I430" s="115"/>
      <c r="J430" s="115"/>
      <c r="K430" s="276"/>
      <c r="L430" s="115"/>
      <c r="M430" s="115"/>
      <c r="N430" s="115"/>
      <c r="O430" s="115"/>
      <c r="P430" s="254"/>
      <c r="Q430" s="254"/>
      <c r="R430" s="254"/>
      <c r="T430" s="254"/>
      <c r="U430" s="254"/>
    </row>
    <row r="431" spans="1:21" ht="15">
      <c r="A431" s="253"/>
      <c r="B431" s="253"/>
      <c r="C431" s="253"/>
      <c r="D431" s="253"/>
      <c r="E431" s="115"/>
      <c r="F431" s="275"/>
      <c r="G431" s="275"/>
      <c r="H431" s="275"/>
      <c r="I431" s="115"/>
      <c r="J431" s="115"/>
      <c r="K431" s="276"/>
      <c r="L431" s="115"/>
      <c r="M431" s="115"/>
      <c r="N431" s="115"/>
      <c r="O431" s="115"/>
      <c r="P431" s="254"/>
      <c r="Q431" s="254"/>
      <c r="R431" s="254"/>
      <c r="T431" s="254"/>
      <c r="U431" s="254"/>
    </row>
    <row r="432" spans="1:21" ht="15">
      <c r="A432" s="253"/>
      <c r="B432" s="253"/>
      <c r="C432" s="253"/>
      <c r="D432" s="253"/>
      <c r="E432" s="115"/>
      <c r="F432" s="275"/>
      <c r="G432" s="275"/>
      <c r="H432" s="275"/>
      <c r="I432" s="115"/>
      <c r="J432" s="115"/>
      <c r="K432" s="276"/>
      <c r="L432" s="115"/>
      <c r="M432" s="115"/>
      <c r="N432" s="115"/>
      <c r="O432" s="115"/>
      <c r="P432" s="254"/>
      <c r="Q432" s="254"/>
      <c r="R432" s="254"/>
      <c r="T432" s="254"/>
      <c r="U432" s="254"/>
    </row>
    <row r="433" spans="1:21" ht="15">
      <c r="A433" s="253"/>
      <c r="B433" s="253"/>
      <c r="C433" s="253"/>
      <c r="D433" s="253"/>
      <c r="E433" s="115"/>
      <c r="F433" s="275"/>
      <c r="G433" s="275"/>
      <c r="H433" s="275"/>
      <c r="I433" s="115"/>
      <c r="J433" s="115"/>
      <c r="K433" s="276"/>
      <c r="L433" s="115"/>
      <c r="M433" s="115"/>
      <c r="N433" s="115"/>
      <c r="O433" s="115"/>
      <c r="P433" s="254"/>
      <c r="Q433" s="254"/>
      <c r="R433" s="254"/>
      <c r="T433" s="254"/>
      <c r="U433" s="254"/>
    </row>
    <row r="434" spans="1:21" ht="15">
      <c r="A434" s="253"/>
      <c r="B434" s="253"/>
      <c r="C434" s="253"/>
      <c r="D434" s="253"/>
      <c r="E434" s="115"/>
      <c r="F434" s="275"/>
      <c r="G434" s="275"/>
      <c r="H434" s="275"/>
      <c r="I434" s="115"/>
      <c r="J434" s="115"/>
      <c r="K434" s="276"/>
      <c r="L434" s="115"/>
      <c r="M434" s="115"/>
      <c r="N434" s="115"/>
      <c r="O434" s="115"/>
      <c r="P434" s="254"/>
      <c r="Q434" s="254"/>
      <c r="R434" s="254"/>
      <c r="T434" s="254"/>
      <c r="U434" s="254"/>
    </row>
    <row r="435" spans="1:21" ht="15">
      <c r="A435" s="253"/>
      <c r="B435" s="253"/>
      <c r="C435" s="253"/>
      <c r="D435" s="253"/>
      <c r="E435" s="115"/>
      <c r="F435" s="275"/>
      <c r="G435" s="275"/>
      <c r="H435" s="275"/>
      <c r="I435" s="115"/>
      <c r="J435" s="115"/>
      <c r="K435" s="276"/>
      <c r="L435" s="115"/>
      <c r="M435" s="115"/>
      <c r="N435" s="115"/>
      <c r="O435" s="115"/>
      <c r="P435" s="254"/>
      <c r="Q435" s="254"/>
      <c r="R435" s="254"/>
      <c r="T435" s="254"/>
      <c r="U435" s="254"/>
    </row>
    <row r="436" spans="1:21" ht="15">
      <c r="A436" s="253"/>
      <c r="B436" s="253"/>
      <c r="C436" s="253"/>
      <c r="D436" s="253"/>
      <c r="E436" s="115"/>
      <c r="F436" s="275"/>
      <c r="G436" s="275"/>
      <c r="H436" s="275"/>
      <c r="I436" s="115"/>
      <c r="J436" s="115"/>
      <c r="K436" s="276"/>
      <c r="L436" s="115"/>
      <c r="M436" s="115"/>
      <c r="N436" s="115"/>
      <c r="O436" s="115"/>
      <c r="P436" s="254"/>
      <c r="Q436" s="254"/>
      <c r="R436" s="254"/>
      <c r="T436" s="254"/>
      <c r="U436" s="254"/>
    </row>
    <row r="437" spans="1:21" ht="15">
      <c r="A437" s="253"/>
      <c r="B437" s="253"/>
      <c r="C437" s="253"/>
      <c r="D437" s="253"/>
      <c r="E437" s="115"/>
      <c r="F437" s="275"/>
      <c r="G437" s="275"/>
      <c r="H437" s="275"/>
      <c r="I437" s="115"/>
      <c r="J437" s="115"/>
      <c r="K437" s="276"/>
      <c r="L437" s="115"/>
      <c r="M437" s="115"/>
      <c r="N437" s="115"/>
      <c r="O437" s="115"/>
      <c r="P437" s="254"/>
      <c r="Q437" s="254"/>
      <c r="R437" s="254"/>
      <c r="T437" s="254"/>
      <c r="U437" s="254"/>
    </row>
    <row r="438" spans="1:21" ht="15">
      <c r="A438" s="253"/>
      <c r="B438" s="253"/>
      <c r="C438" s="253"/>
      <c r="D438" s="253"/>
      <c r="E438" s="115"/>
      <c r="F438" s="275"/>
      <c r="G438" s="275"/>
      <c r="H438" s="275"/>
      <c r="I438" s="115"/>
      <c r="J438" s="115"/>
      <c r="K438" s="276"/>
      <c r="L438" s="115"/>
      <c r="M438" s="115"/>
      <c r="N438" s="115"/>
      <c r="O438" s="115"/>
      <c r="P438" s="254"/>
      <c r="Q438" s="254"/>
      <c r="R438" s="254"/>
      <c r="T438" s="254"/>
      <c r="U438" s="254"/>
    </row>
    <row r="439" spans="1:21" ht="15">
      <c r="A439" s="253"/>
      <c r="B439" s="253"/>
      <c r="C439" s="253"/>
      <c r="D439" s="253"/>
      <c r="E439" s="115"/>
      <c r="F439" s="275"/>
      <c r="G439" s="275"/>
      <c r="H439" s="275"/>
      <c r="I439" s="115"/>
      <c r="J439" s="115"/>
      <c r="K439" s="276"/>
      <c r="L439" s="115"/>
      <c r="M439" s="115"/>
      <c r="N439" s="115"/>
      <c r="O439" s="115"/>
      <c r="P439" s="254"/>
      <c r="Q439" s="254"/>
      <c r="R439" s="254"/>
      <c r="T439" s="254"/>
      <c r="U439" s="254"/>
    </row>
    <row r="440" spans="1:21" ht="15">
      <c r="A440" s="253"/>
      <c r="B440" s="253"/>
      <c r="C440" s="253"/>
      <c r="D440" s="253"/>
      <c r="E440" s="115"/>
      <c r="F440" s="275"/>
      <c r="G440" s="275"/>
      <c r="H440" s="275"/>
      <c r="I440" s="115"/>
      <c r="J440" s="115"/>
      <c r="K440" s="276"/>
      <c r="L440" s="115"/>
      <c r="M440" s="115"/>
      <c r="N440" s="115"/>
      <c r="O440" s="115"/>
      <c r="P440" s="254"/>
      <c r="Q440" s="254"/>
      <c r="R440" s="254"/>
      <c r="T440" s="254"/>
      <c r="U440" s="254"/>
    </row>
    <row r="441" spans="1:21" ht="15">
      <c r="A441" s="253"/>
      <c r="B441" s="253"/>
      <c r="C441" s="253"/>
      <c r="D441" s="253"/>
      <c r="E441" s="115"/>
      <c r="F441" s="275"/>
      <c r="G441" s="275"/>
      <c r="H441" s="275"/>
      <c r="I441" s="115"/>
      <c r="J441" s="115"/>
      <c r="K441" s="276"/>
      <c r="L441" s="115"/>
      <c r="M441" s="115"/>
      <c r="N441" s="115"/>
      <c r="O441" s="115"/>
      <c r="P441" s="254"/>
      <c r="Q441" s="254"/>
      <c r="R441" s="254"/>
      <c r="T441" s="254"/>
      <c r="U441" s="254"/>
    </row>
    <row r="442" spans="1:21" ht="15">
      <c r="A442" s="253"/>
      <c r="B442" s="253"/>
      <c r="C442" s="253"/>
      <c r="D442" s="253"/>
      <c r="E442" s="115"/>
      <c r="F442" s="275"/>
      <c r="G442" s="275"/>
      <c r="H442" s="275"/>
      <c r="I442" s="115"/>
      <c r="J442" s="115"/>
      <c r="K442" s="276"/>
      <c r="L442" s="115"/>
      <c r="M442" s="115"/>
      <c r="N442" s="115"/>
      <c r="O442" s="115"/>
      <c r="P442" s="254"/>
      <c r="Q442" s="254"/>
      <c r="R442" s="254"/>
      <c r="T442" s="254"/>
      <c r="U442" s="254"/>
    </row>
    <row r="443" spans="1:21" ht="15">
      <c r="A443" s="253"/>
      <c r="B443" s="253"/>
      <c r="C443" s="253"/>
      <c r="D443" s="253"/>
      <c r="E443" s="115"/>
      <c r="F443" s="275"/>
      <c r="G443" s="275"/>
      <c r="H443" s="275"/>
      <c r="I443" s="115"/>
      <c r="J443" s="115"/>
      <c r="K443" s="276"/>
      <c r="L443" s="115"/>
      <c r="M443" s="115"/>
      <c r="N443" s="115"/>
      <c r="O443" s="115"/>
      <c r="P443" s="254"/>
      <c r="Q443" s="254"/>
      <c r="R443" s="254"/>
      <c r="T443" s="254"/>
      <c r="U443" s="254"/>
    </row>
    <row r="444" spans="1:21" ht="15">
      <c r="A444" s="253"/>
      <c r="B444" s="253"/>
      <c r="C444" s="253"/>
      <c r="D444" s="253"/>
      <c r="E444" s="115"/>
      <c r="F444" s="275"/>
      <c r="G444" s="275"/>
      <c r="H444" s="275"/>
      <c r="I444" s="115"/>
      <c r="J444" s="115"/>
      <c r="K444" s="276"/>
      <c r="L444" s="115"/>
      <c r="M444" s="115"/>
      <c r="N444" s="115"/>
      <c r="O444" s="115"/>
      <c r="P444" s="254"/>
      <c r="Q444" s="254"/>
      <c r="R444" s="254"/>
      <c r="T444" s="254"/>
      <c r="U444" s="254"/>
    </row>
    <row r="445" spans="1:21" ht="15">
      <c r="A445" s="253"/>
      <c r="B445" s="253"/>
      <c r="C445" s="253"/>
      <c r="D445" s="253"/>
      <c r="E445" s="115"/>
      <c r="F445" s="275"/>
      <c r="G445" s="275"/>
      <c r="H445" s="275"/>
      <c r="I445" s="115"/>
      <c r="J445" s="115"/>
      <c r="K445" s="276"/>
      <c r="L445" s="115"/>
      <c r="M445" s="115"/>
      <c r="N445" s="115"/>
      <c r="O445" s="115"/>
      <c r="P445" s="254"/>
      <c r="Q445" s="254"/>
      <c r="R445" s="254"/>
      <c r="T445" s="254"/>
      <c r="U445" s="254"/>
    </row>
    <row r="446" spans="1:21" ht="15">
      <c r="A446" s="253"/>
      <c r="B446" s="253"/>
      <c r="C446" s="253"/>
      <c r="D446" s="253"/>
      <c r="E446" s="115"/>
      <c r="F446" s="275"/>
      <c r="G446" s="275"/>
      <c r="H446" s="275"/>
      <c r="I446" s="115"/>
      <c r="J446" s="115"/>
      <c r="K446" s="276"/>
      <c r="L446" s="115"/>
      <c r="M446" s="115"/>
      <c r="N446" s="115"/>
      <c r="O446" s="115"/>
      <c r="P446" s="254"/>
      <c r="Q446" s="254"/>
      <c r="R446" s="254"/>
      <c r="T446" s="254"/>
      <c r="U446" s="254"/>
    </row>
    <row r="447" spans="1:21" ht="15">
      <c r="A447" s="253"/>
      <c r="B447" s="253"/>
      <c r="C447" s="253"/>
      <c r="D447" s="253"/>
      <c r="E447" s="115"/>
      <c r="F447" s="275"/>
      <c r="G447" s="275"/>
      <c r="H447" s="275"/>
      <c r="I447" s="115"/>
      <c r="J447" s="115"/>
      <c r="K447" s="276"/>
      <c r="L447" s="115"/>
      <c r="M447" s="115"/>
      <c r="N447" s="115"/>
      <c r="O447" s="115"/>
      <c r="P447" s="254"/>
      <c r="Q447" s="254"/>
      <c r="R447" s="254"/>
      <c r="T447" s="254"/>
      <c r="U447" s="254"/>
    </row>
    <row r="448" spans="1:21" ht="15">
      <c r="A448" s="253"/>
      <c r="B448" s="253"/>
      <c r="C448" s="253"/>
      <c r="D448" s="253"/>
      <c r="E448" s="115"/>
      <c r="F448" s="275"/>
      <c r="G448" s="275"/>
      <c r="H448" s="275"/>
      <c r="I448" s="115"/>
      <c r="J448" s="115"/>
      <c r="K448" s="276"/>
      <c r="L448" s="115"/>
      <c r="M448" s="115"/>
      <c r="N448" s="115"/>
      <c r="O448" s="115"/>
      <c r="P448" s="254"/>
      <c r="Q448" s="254"/>
      <c r="R448" s="254"/>
      <c r="T448" s="254"/>
      <c r="U448" s="254"/>
    </row>
    <row r="449" spans="1:21" ht="15">
      <c r="A449" s="253"/>
      <c r="B449" s="253"/>
      <c r="C449" s="253"/>
      <c r="D449" s="253"/>
      <c r="E449" s="115"/>
      <c r="F449" s="275"/>
      <c r="G449" s="275"/>
      <c r="H449" s="275"/>
      <c r="I449" s="115"/>
      <c r="J449" s="115"/>
      <c r="K449" s="276"/>
      <c r="L449" s="115"/>
      <c r="M449" s="115"/>
      <c r="N449" s="115"/>
      <c r="O449" s="115"/>
      <c r="P449" s="254"/>
      <c r="Q449" s="254"/>
      <c r="R449" s="254"/>
      <c r="T449" s="254"/>
      <c r="U449" s="254"/>
    </row>
    <row r="450" spans="1:21" ht="15">
      <c r="A450" s="253"/>
      <c r="B450" s="253"/>
      <c r="C450" s="253"/>
      <c r="D450" s="253"/>
      <c r="E450" s="115"/>
      <c r="F450" s="275"/>
      <c r="G450" s="275"/>
      <c r="H450" s="275"/>
      <c r="I450" s="115"/>
      <c r="J450" s="115"/>
      <c r="K450" s="276"/>
      <c r="L450" s="115"/>
      <c r="M450" s="115"/>
      <c r="N450" s="115"/>
      <c r="O450" s="115"/>
      <c r="P450" s="254"/>
      <c r="Q450" s="254"/>
      <c r="R450" s="254"/>
      <c r="T450" s="254"/>
      <c r="U450" s="254"/>
    </row>
    <row r="451" spans="1:21" ht="15">
      <c r="A451" s="253"/>
      <c r="B451" s="253"/>
      <c r="C451" s="253"/>
      <c r="D451" s="253"/>
      <c r="E451" s="115"/>
      <c r="F451" s="275"/>
      <c r="G451" s="275"/>
      <c r="H451" s="275"/>
      <c r="I451" s="115"/>
      <c r="J451" s="115"/>
      <c r="K451" s="276"/>
      <c r="L451" s="115"/>
      <c r="M451" s="115"/>
      <c r="N451" s="115"/>
      <c r="O451" s="115"/>
      <c r="P451" s="254"/>
      <c r="Q451" s="254"/>
      <c r="R451" s="254"/>
      <c r="T451" s="254"/>
      <c r="U451" s="254"/>
    </row>
    <row r="452" spans="1:21" ht="15">
      <c r="A452" s="253"/>
      <c r="B452" s="253"/>
      <c r="C452" s="253"/>
      <c r="D452" s="253"/>
      <c r="E452" s="115"/>
      <c r="F452" s="275"/>
      <c r="G452" s="275"/>
      <c r="H452" s="275"/>
      <c r="I452" s="115"/>
      <c r="J452" s="115"/>
      <c r="K452" s="276"/>
      <c r="L452" s="115"/>
      <c r="M452" s="115"/>
      <c r="N452" s="115"/>
      <c r="O452" s="115"/>
      <c r="P452" s="254"/>
      <c r="Q452" s="254"/>
      <c r="R452" s="254"/>
      <c r="T452" s="254"/>
      <c r="U452" s="254"/>
    </row>
    <row r="453" spans="1:21" ht="15">
      <c r="A453" s="253"/>
      <c r="B453" s="253"/>
      <c r="C453" s="253"/>
      <c r="D453" s="253"/>
      <c r="E453" s="115"/>
      <c r="F453" s="275"/>
      <c r="G453" s="275"/>
      <c r="H453" s="275"/>
      <c r="I453" s="115"/>
      <c r="J453" s="115"/>
      <c r="K453" s="276"/>
      <c r="L453" s="115"/>
      <c r="M453" s="115"/>
      <c r="N453" s="115"/>
      <c r="O453" s="115"/>
      <c r="P453" s="254"/>
      <c r="Q453" s="254"/>
      <c r="R453" s="254"/>
      <c r="T453" s="254"/>
      <c r="U453" s="254"/>
    </row>
    <row r="454" spans="1:21" ht="15">
      <c r="A454" s="253"/>
      <c r="B454" s="253"/>
      <c r="C454" s="253"/>
      <c r="D454" s="253"/>
      <c r="E454" s="115"/>
      <c r="F454" s="275"/>
      <c r="G454" s="275"/>
      <c r="H454" s="275"/>
      <c r="I454" s="115"/>
      <c r="J454" s="115"/>
      <c r="K454" s="276"/>
      <c r="L454" s="115"/>
      <c r="M454" s="115"/>
      <c r="N454" s="115"/>
      <c r="O454" s="115"/>
      <c r="P454" s="254"/>
      <c r="Q454" s="254"/>
      <c r="R454" s="254"/>
      <c r="T454" s="254"/>
      <c r="U454" s="254"/>
    </row>
    <row r="455" spans="1:21" ht="15">
      <c r="A455" s="253"/>
      <c r="B455" s="253"/>
      <c r="C455" s="253"/>
      <c r="D455" s="253"/>
      <c r="E455" s="115"/>
      <c r="F455" s="275"/>
      <c r="G455" s="275"/>
      <c r="H455" s="275"/>
      <c r="I455" s="115"/>
      <c r="J455" s="115"/>
      <c r="K455" s="276"/>
      <c r="L455" s="115"/>
      <c r="M455" s="115"/>
      <c r="N455" s="115"/>
      <c r="O455" s="115"/>
      <c r="P455" s="254"/>
      <c r="Q455" s="254"/>
      <c r="R455" s="254"/>
      <c r="T455" s="254"/>
      <c r="U455" s="254"/>
    </row>
    <row r="456" spans="1:21" ht="15">
      <c r="A456" s="253"/>
      <c r="B456" s="253"/>
      <c r="C456" s="253"/>
      <c r="D456" s="253"/>
      <c r="E456" s="115"/>
      <c r="F456" s="275"/>
      <c r="G456" s="275"/>
      <c r="H456" s="275"/>
      <c r="I456" s="115"/>
      <c r="J456" s="115"/>
      <c r="K456" s="276"/>
      <c r="L456" s="115"/>
      <c r="M456" s="115"/>
      <c r="N456" s="115"/>
      <c r="O456" s="115"/>
      <c r="P456" s="254"/>
      <c r="Q456" s="254"/>
      <c r="R456" s="254"/>
      <c r="T456" s="254"/>
      <c r="U456" s="254"/>
    </row>
    <row r="457" spans="1:21" ht="15">
      <c r="A457" s="253"/>
      <c r="B457" s="253"/>
      <c r="C457" s="253"/>
      <c r="D457" s="253"/>
      <c r="E457" s="115"/>
      <c r="F457" s="275"/>
      <c r="G457" s="275"/>
      <c r="H457" s="275"/>
      <c r="I457" s="115"/>
      <c r="J457" s="115"/>
      <c r="K457" s="276"/>
      <c r="L457" s="115"/>
      <c r="M457" s="115"/>
      <c r="N457" s="115"/>
      <c r="O457" s="115"/>
      <c r="P457" s="254"/>
      <c r="Q457" s="254"/>
      <c r="R457" s="254"/>
      <c r="T457" s="254"/>
      <c r="U457" s="254"/>
    </row>
    <row r="458" spans="1:21" ht="15">
      <c r="A458" s="253"/>
      <c r="B458" s="253"/>
      <c r="C458" s="253"/>
      <c r="D458" s="253"/>
      <c r="E458" s="115"/>
      <c r="F458" s="275"/>
      <c r="G458" s="275"/>
      <c r="H458" s="275"/>
      <c r="I458" s="115"/>
      <c r="J458" s="115"/>
      <c r="K458" s="276"/>
      <c r="L458" s="115"/>
      <c r="M458" s="115"/>
      <c r="N458" s="115"/>
      <c r="O458" s="115"/>
      <c r="P458" s="254"/>
      <c r="Q458" s="254"/>
      <c r="R458" s="254"/>
      <c r="T458" s="254"/>
      <c r="U458" s="254"/>
    </row>
    <row r="459" spans="1:21" ht="15">
      <c r="A459" s="253"/>
      <c r="B459" s="253"/>
      <c r="C459" s="253"/>
      <c r="D459" s="253"/>
      <c r="E459" s="115"/>
      <c r="F459" s="275"/>
      <c r="G459" s="275"/>
      <c r="H459" s="275"/>
      <c r="I459" s="115"/>
      <c r="J459" s="115"/>
      <c r="K459" s="276"/>
      <c r="L459" s="115"/>
      <c r="M459" s="115"/>
      <c r="N459" s="115"/>
      <c r="O459" s="115"/>
      <c r="P459" s="254"/>
      <c r="Q459" s="254"/>
      <c r="R459" s="254"/>
      <c r="T459" s="254"/>
      <c r="U459" s="254"/>
    </row>
    <row r="460" spans="1:21" ht="15">
      <c r="A460" s="253"/>
      <c r="B460" s="253"/>
      <c r="C460" s="253"/>
      <c r="D460" s="253"/>
      <c r="E460" s="115"/>
      <c r="F460" s="275"/>
      <c r="G460" s="275"/>
      <c r="H460" s="275"/>
      <c r="I460" s="115"/>
      <c r="J460" s="115"/>
      <c r="K460" s="276"/>
      <c r="L460" s="115"/>
      <c r="M460" s="115"/>
      <c r="N460" s="115"/>
      <c r="O460" s="115"/>
      <c r="P460" s="254"/>
      <c r="Q460" s="254"/>
      <c r="R460" s="254"/>
      <c r="T460" s="254"/>
      <c r="U460" s="254"/>
    </row>
    <row r="461" spans="1:21" ht="15">
      <c r="A461" s="253"/>
      <c r="B461" s="253"/>
      <c r="C461" s="253"/>
      <c r="D461" s="253"/>
      <c r="E461" s="115"/>
      <c r="F461" s="275"/>
      <c r="G461" s="275"/>
      <c r="H461" s="275"/>
      <c r="I461" s="115"/>
      <c r="J461" s="115"/>
      <c r="K461" s="276"/>
      <c r="L461" s="115"/>
      <c r="M461" s="115"/>
      <c r="N461" s="115"/>
      <c r="O461" s="115"/>
      <c r="P461" s="254"/>
      <c r="Q461" s="254"/>
      <c r="R461" s="254"/>
      <c r="T461" s="254"/>
      <c r="U461" s="254"/>
    </row>
    <row r="462" spans="1:21" ht="15">
      <c r="A462" s="253"/>
      <c r="B462" s="253"/>
      <c r="C462" s="253"/>
      <c r="D462" s="253"/>
      <c r="E462" s="115"/>
      <c r="F462" s="275"/>
      <c r="G462" s="275"/>
      <c r="H462" s="275"/>
      <c r="I462" s="115"/>
      <c r="J462" s="115"/>
      <c r="K462" s="276"/>
      <c r="L462" s="115"/>
      <c r="M462" s="115"/>
      <c r="N462" s="115"/>
      <c r="O462" s="115"/>
      <c r="P462" s="254"/>
      <c r="Q462" s="254"/>
      <c r="R462" s="254"/>
      <c r="T462" s="254"/>
      <c r="U462" s="254"/>
    </row>
    <row r="463" spans="1:21" ht="15">
      <c r="A463" s="253"/>
      <c r="B463" s="253"/>
      <c r="C463" s="253"/>
      <c r="D463" s="253"/>
      <c r="E463" s="115"/>
      <c r="F463" s="275"/>
      <c r="G463" s="275"/>
      <c r="H463" s="275"/>
      <c r="I463" s="115"/>
      <c r="J463" s="115"/>
      <c r="K463" s="276"/>
      <c r="L463" s="115"/>
      <c r="M463" s="115"/>
      <c r="N463" s="115"/>
      <c r="O463" s="115"/>
      <c r="P463" s="254"/>
      <c r="Q463" s="254"/>
      <c r="R463" s="254"/>
      <c r="T463" s="254"/>
      <c r="U463" s="254"/>
    </row>
    <row r="464" spans="1:21" ht="15">
      <c r="A464" s="253"/>
      <c r="B464" s="253"/>
      <c r="C464" s="253"/>
      <c r="D464" s="253"/>
      <c r="E464" s="115"/>
      <c r="F464" s="275"/>
      <c r="G464" s="275"/>
      <c r="H464" s="275"/>
      <c r="I464" s="115"/>
      <c r="J464" s="115"/>
      <c r="K464" s="276"/>
      <c r="L464" s="115"/>
      <c r="M464" s="115"/>
      <c r="N464" s="115"/>
      <c r="O464" s="115"/>
      <c r="P464" s="254"/>
      <c r="Q464" s="254"/>
      <c r="R464" s="254"/>
      <c r="T464" s="254"/>
      <c r="U464" s="254"/>
    </row>
    <row r="465" spans="1:21" ht="15">
      <c r="A465" s="253"/>
      <c r="B465" s="253"/>
      <c r="C465" s="253"/>
      <c r="D465" s="253"/>
      <c r="E465" s="115"/>
      <c r="F465" s="275"/>
      <c r="G465" s="275"/>
      <c r="H465" s="275"/>
      <c r="I465" s="115"/>
      <c r="J465" s="115"/>
      <c r="K465" s="276"/>
      <c r="L465" s="115"/>
      <c r="M465" s="115"/>
      <c r="N465" s="115"/>
      <c r="O465" s="115"/>
      <c r="P465" s="254"/>
      <c r="Q465" s="254"/>
      <c r="R465" s="254"/>
      <c r="T465" s="254"/>
      <c r="U465" s="254"/>
    </row>
    <row r="466" spans="1:21" ht="15">
      <c r="A466" s="253"/>
      <c r="B466" s="253"/>
      <c r="C466" s="253"/>
      <c r="D466" s="253"/>
      <c r="E466" s="115"/>
      <c r="F466" s="275"/>
      <c r="G466" s="275"/>
      <c r="H466" s="275"/>
      <c r="I466" s="115"/>
      <c r="J466" s="115"/>
      <c r="K466" s="276"/>
      <c r="L466" s="115"/>
      <c r="M466" s="115"/>
      <c r="N466" s="115"/>
      <c r="O466" s="115"/>
      <c r="P466" s="254"/>
      <c r="Q466" s="254"/>
      <c r="R466" s="254"/>
      <c r="T466" s="254"/>
      <c r="U466" s="254"/>
    </row>
    <row r="467" spans="1:21" ht="15">
      <c r="A467" s="253"/>
      <c r="B467" s="253"/>
      <c r="C467" s="253"/>
      <c r="D467" s="253"/>
      <c r="E467" s="115"/>
      <c r="F467" s="275"/>
      <c r="G467" s="275"/>
      <c r="H467" s="275"/>
      <c r="I467" s="115"/>
      <c r="J467" s="115"/>
      <c r="K467" s="276"/>
      <c r="L467" s="115"/>
      <c r="M467" s="115"/>
      <c r="N467" s="115"/>
      <c r="O467" s="115"/>
      <c r="P467" s="254"/>
      <c r="Q467" s="254"/>
      <c r="R467" s="254"/>
      <c r="T467" s="254"/>
      <c r="U467" s="254"/>
    </row>
    <row r="468" spans="1:21" ht="15">
      <c r="A468" s="253"/>
      <c r="B468" s="253"/>
      <c r="C468" s="253"/>
      <c r="D468" s="253"/>
      <c r="E468" s="115"/>
      <c r="F468" s="275"/>
      <c r="G468" s="275"/>
      <c r="H468" s="275"/>
      <c r="I468" s="115"/>
      <c r="J468" s="115"/>
      <c r="K468" s="276"/>
      <c r="L468" s="115"/>
      <c r="M468" s="115"/>
      <c r="N468" s="115"/>
      <c r="O468" s="115"/>
      <c r="P468" s="254"/>
      <c r="Q468" s="254"/>
      <c r="R468" s="254"/>
      <c r="T468" s="254"/>
      <c r="U468" s="254"/>
    </row>
    <row r="469" spans="1:21" ht="15">
      <c r="A469" s="253"/>
      <c r="B469" s="253"/>
      <c r="C469" s="253"/>
      <c r="D469" s="253"/>
      <c r="E469" s="115"/>
      <c r="F469" s="275"/>
      <c r="G469" s="275"/>
      <c r="H469" s="275"/>
      <c r="I469" s="115"/>
      <c r="J469" s="115"/>
      <c r="K469" s="276"/>
      <c r="L469" s="115"/>
      <c r="M469" s="115"/>
      <c r="N469" s="115"/>
      <c r="O469" s="115"/>
      <c r="P469" s="254"/>
      <c r="Q469" s="254"/>
      <c r="R469" s="254"/>
      <c r="T469" s="254"/>
      <c r="U469" s="254"/>
    </row>
    <row r="470" spans="1:21" ht="15">
      <c r="A470" s="253"/>
      <c r="B470" s="253"/>
      <c r="C470" s="253"/>
      <c r="D470" s="253"/>
      <c r="E470" s="115"/>
      <c r="F470" s="275"/>
      <c r="G470" s="275"/>
      <c r="H470" s="275"/>
      <c r="I470" s="115"/>
      <c r="J470" s="115"/>
      <c r="K470" s="276"/>
      <c r="L470" s="115"/>
      <c r="M470" s="115"/>
      <c r="N470" s="115"/>
      <c r="O470" s="115"/>
      <c r="P470" s="254"/>
      <c r="Q470" s="254"/>
      <c r="R470" s="254"/>
      <c r="T470" s="254"/>
      <c r="U470" s="254"/>
    </row>
    <row r="471" spans="1:21" ht="15">
      <c r="A471" s="253"/>
      <c r="B471" s="253"/>
      <c r="C471" s="253"/>
      <c r="D471" s="253"/>
      <c r="E471" s="115"/>
      <c r="F471" s="275"/>
      <c r="G471" s="275"/>
      <c r="H471" s="275"/>
      <c r="I471" s="115"/>
      <c r="J471" s="115"/>
      <c r="K471" s="276"/>
      <c r="L471" s="115"/>
      <c r="M471" s="115"/>
      <c r="N471" s="115"/>
      <c r="O471" s="115"/>
      <c r="P471" s="254"/>
      <c r="Q471" s="254"/>
      <c r="R471" s="254"/>
      <c r="T471" s="254"/>
      <c r="U471" s="254"/>
    </row>
    <row r="472" spans="1:21" ht="15">
      <c r="A472" s="253"/>
      <c r="B472" s="253"/>
      <c r="C472" s="253"/>
      <c r="D472" s="253"/>
      <c r="E472" s="115"/>
      <c r="F472" s="275"/>
      <c r="G472" s="275"/>
      <c r="H472" s="275"/>
      <c r="I472" s="115"/>
      <c r="J472" s="115"/>
      <c r="K472" s="276"/>
      <c r="L472" s="115"/>
      <c r="M472" s="115"/>
      <c r="N472" s="115"/>
      <c r="O472" s="115"/>
      <c r="P472" s="254"/>
      <c r="Q472" s="254"/>
      <c r="R472" s="254"/>
      <c r="T472" s="254"/>
      <c r="U472" s="254"/>
    </row>
    <row r="473" spans="1:21" ht="15">
      <c r="A473" s="253"/>
      <c r="B473" s="253"/>
      <c r="C473" s="253"/>
      <c r="D473" s="253"/>
      <c r="E473" s="115"/>
      <c r="F473" s="275"/>
      <c r="G473" s="275"/>
      <c r="H473" s="275"/>
      <c r="I473" s="115"/>
      <c r="J473" s="115"/>
      <c r="K473" s="276"/>
      <c r="L473" s="115"/>
      <c r="M473" s="115"/>
      <c r="N473" s="115"/>
      <c r="O473" s="115"/>
      <c r="P473" s="254"/>
      <c r="Q473" s="254"/>
      <c r="R473" s="254"/>
      <c r="T473" s="254"/>
      <c r="U473" s="254"/>
    </row>
    <row r="474" spans="1:21" ht="15">
      <c r="A474" s="253"/>
      <c r="B474" s="253"/>
      <c r="C474" s="253"/>
      <c r="D474" s="253"/>
      <c r="E474" s="115"/>
      <c r="F474" s="275"/>
      <c r="G474" s="275"/>
      <c r="H474" s="275"/>
      <c r="I474" s="115"/>
      <c r="J474" s="115"/>
      <c r="K474" s="276"/>
      <c r="L474" s="115"/>
      <c r="M474" s="115"/>
      <c r="N474" s="115"/>
      <c r="O474" s="115"/>
      <c r="P474" s="254"/>
      <c r="Q474" s="254"/>
      <c r="R474" s="254"/>
      <c r="T474" s="254"/>
      <c r="U474" s="254"/>
    </row>
    <row r="475" spans="1:21" ht="15">
      <c r="A475" s="253"/>
      <c r="B475" s="253"/>
      <c r="C475" s="253"/>
      <c r="D475" s="253"/>
      <c r="E475" s="115"/>
      <c r="F475" s="275"/>
      <c r="G475" s="275"/>
      <c r="H475" s="275"/>
      <c r="I475" s="115"/>
      <c r="J475" s="115"/>
      <c r="K475" s="276"/>
      <c r="L475" s="115"/>
      <c r="M475" s="115"/>
      <c r="N475" s="115"/>
      <c r="O475" s="115"/>
      <c r="P475" s="254"/>
      <c r="Q475" s="254"/>
      <c r="R475" s="254"/>
      <c r="T475" s="254"/>
      <c r="U475" s="254"/>
    </row>
    <row r="476" spans="1:21" ht="15">
      <c r="A476" s="253"/>
      <c r="B476" s="253"/>
      <c r="C476" s="253"/>
      <c r="D476" s="253"/>
      <c r="E476" s="115"/>
      <c r="F476" s="275"/>
      <c r="G476" s="275"/>
      <c r="H476" s="275"/>
      <c r="I476" s="115"/>
      <c r="J476" s="115"/>
      <c r="K476" s="276"/>
      <c r="L476" s="115"/>
      <c r="M476" s="115"/>
      <c r="N476" s="115"/>
      <c r="O476" s="115"/>
      <c r="P476" s="254"/>
      <c r="Q476" s="254"/>
      <c r="R476" s="254"/>
      <c r="T476" s="254"/>
      <c r="U476" s="254"/>
    </row>
    <row r="477" spans="1:21" ht="15">
      <c r="A477" s="253"/>
      <c r="B477" s="253"/>
      <c r="C477" s="253"/>
      <c r="D477" s="253"/>
      <c r="E477" s="115"/>
      <c r="F477" s="275"/>
      <c r="G477" s="275"/>
      <c r="H477" s="275"/>
      <c r="I477" s="115"/>
      <c r="J477" s="115"/>
      <c r="K477" s="276"/>
      <c r="L477" s="115"/>
      <c r="M477" s="115"/>
      <c r="N477" s="115"/>
      <c r="O477" s="115"/>
      <c r="P477" s="254"/>
      <c r="Q477" s="254"/>
      <c r="R477" s="254"/>
      <c r="T477" s="254"/>
      <c r="U477" s="254"/>
    </row>
    <row r="478" spans="1:21" ht="15">
      <c r="A478" s="253"/>
      <c r="B478" s="253"/>
      <c r="C478" s="253"/>
      <c r="D478" s="253"/>
      <c r="E478" s="115"/>
      <c r="F478" s="275"/>
      <c r="G478" s="275"/>
      <c r="H478" s="275"/>
      <c r="I478" s="115"/>
      <c r="J478" s="115"/>
      <c r="K478" s="276"/>
      <c r="L478" s="115"/>
      <c r="M478" s="115"/>
      <c r="N478" s="115"/>
      <c r="O478" s="115"/>
      <c r="P478" s="254"/>
      <c r="Q478" s="254"/>
      <c r="R478" s="254"/>
      <c r="T478" s="254"/>
      <c r="U478" s="254"/>
    </row>
    <row r="479" spans="1:21" ht="15">
      <c r="A479" s="253"/>
      <c r="B479" s="253"/>
      <c r="C479" s="253"/>
      <c r="D479" s="253"/>
      <c r="E479" s="115"/>
      <c r="F479" s="275"/>
      <c r="G479" s="275"/>
      <c r="H479" s="275"/>
      <c r="I479" s="115"/>
      <c r="J479" s="115"/>
      <c r="K479" s="276"/>
      <c r="L479" s="115"/>
      <c r="M479" s="115"/>
      <c r="N479" s="115"/>
      <c r="O479" s="115"/>
      <c r="P479" s="254"/>
      <c r="Q479" s="254"/>
      <c r="R479" s="254"/>
      <c r="T479" s="254"/>
      <c r="U479" s="254"/>
    </row>
    <row r="480" spans="1:21" ht="15">
      <c r="A480" s="253"/>
      <c r="B480" s="253"/>
      <c r="C480" s="253"/>
      <c r="D480" s="253"/>
      <c r="E480" s="115"/>
      <c r="F480" s="275"/>
      <c r="G480" s="275"/>
      <c r="H480" s="275"/>
      <c r="I480" s="115"/>
      <c r="J480" s="115"/>
      <c r="K480" s="276"/>
      <c r="L480" s="115"/>
      <c r="M480" s="115"/>
      <c r="N480" s="115"/>
      <c r="O480" s="115"/>
      <c r="P480" s="254"/>
      <c r="Q480" s="254"/>
      <c r="R480" s="254"/>
      <c r="T480" s="254"/>
      <c r="U480" s="254"/>
    </row>
    <row r="481" spans="1:21" ht="15">
      <c r="A481" s="253"/>
      <c r="B481" s="253"/>
      <c r="C481" s="253"/>
      <c r="D481" s="253"/>
      <c r="E481" s="115"/>
      <c r="F481" s="275"/>
      <c r="G481" s="275"/>
      <c r="H481" s="275"/>
      <c r="I481" s="115"/>
      <c r="J481" s="115"/>
      <c r="K481" s="276"/>
      <c r="L481" s="115"/>
      <c r="M481" s="115"/>
      <c r="N481" s="115"/>
      <c r="O481" s="115"/>
      <c r="P481" s="254"/>
      <c r="Q481" s="254"/>
      <c r="R481" s="254"/>
      <c r="T481" s="254"/>
      <c r="U481" s="254"/>
    </row>
    <row r="482" spans="1:21" ht="15">
      <c r="A482" s="253"/>
      <c r="B482" s="253"/>
      <c r="C482" s="253"/>
      <c r="D482" s="253"/>
      <c r="E482" s="115"/>
      <c r="F482" s="275"/>
      <c r="G482" s="275"/>
      <c r="H482" s="275"/>
      <c r="I482" s="115"/>
      <c r="J482" s="115"/>
      <c r="K482" s="276"/>
      <c r="L482" s="115"/>
      <c r="M482" s="115"/>
      <c r="N482" s="115"/>
      <c r="O482" s="115"/>
      <c r="P482" s="254"/>
      <c r="Q482" s="254"/>
      <c r="R482" s="254"/>
      <c r="T482" s="254"/>
      <c r="U482" s="254"/>
    </row>
    <row r="483" spans="1:21" ht="15">
      <c r="A483" s="253"/>
      <c r="B483" s="253"/>
      <c r="C483" s="253"/>
      <c r="D483" s="253"/>
      <c r="E483" s="115"/>
      <c r="F483" s="275"/>
      <c r="G483" s="275"/>
      <c r="H483" s="275"/>
      <c r="I483" s="115"/>
      <c r="J483" s="115"/>
      <c r="K483" s="276"/>
      <c r="L483" s="115"/>
      <c r="M483" s="115"/>
      <c r="N483" s="115"/>
      <c r="O483" s="115"/>
      <c r="P483" s="254"/>
      <c r="Q483" s="254"/>
      <c r="R483" s="254"/>
      <c r="T483" s="254"/>
      <c r="U483" s="254"/>
    </row>
    <row r="484" spans="1:21" ht="15">
      <c r="A484" s="253"/>
      <c r="B484" s="253"/>
      <c r="C484" s="253"/>
      <c r="D484" s="253"/>
      <c r="E484" s="115"/>
      <c r="F484" s="275"/>
      <c r="G484" s="275"/>
      <c r="H484" s="275"/>
      <c r="I484" s="115"/>
      <c r="J484" s="115"/>
      <c r="K484" s="276"/>
      <c r="L484" s="115"/>
      <c r="M484" s="115"/>
      <c r="N484" s="115"/>
      <c r="O484" s="115"/>
      <c r="P484" s="254"/>
      <c r="Q484" s="254"/>
      <c r="R484" s="254"/>
      <c r="T484" s="254"/>
      <c r="U484" s="254"/>
    </row>
    <row r="485" spans="1:21" ht="15">
      <c r="A485" s="253"/>
      <c r="B485" s="253"/>
      <c r="C485" s="253"/>
      <c r="D485" s="253"/>
      <c r="E485" s="115"/>
      <c r="F485" s="275"/>
      <c r="G485" s="275"/>
      <c r="H485" s="275"/>
      <c r="I485" s="115"/>
      <c r="J485" s="115"/>
      <c r="K485" s="276"/>
      <c r="L485" s="115"/>
      <c r="M485" s="115"/>
      <c r="N485" s="115"/>
      <c r="O485" s="115"/>
      <c r="P485" s="254"/>
      <c r="Q485" s="254"/>
      <c r="R485" s="254"/>
      <c r="T485" s="254"/>
      <c r="U485" s="254"/>
    </row>
    <row r="486" spans="1:21" ht="15">
      <c r="A486" s="253"/>
      <c r="B486" s="253"/>
      <c r="C486" s="253"/>
      <c r="D486" s="253"/>
      <c r="E486" s="115"/>
      <c r="F486" s="275"/>
      <c r="G486" s="275"/>
      <c r="H486" s="275"/>
      <c r="I486" s="115"/>
      <c r="J486" s="115"/>
      <c r="K486" s="276"/>
      <c r="L486" s="115"/>
      <c r="M486" s="115"/>
      <c r="N486" s="115"/>
      <c r="O486" s="115"/>
      <c r="P486" s="254"/>
      <c r="Q486" s="254"/>
      <c r="R486" s="254"/>
      <c r="T486" s="254"/>
      <c r="U486" s="254"/>
    </row>
    <row r="487" spans="1:21" ht="15">
      <c r="A487" s="253"/>
      <c r="B487" s="253"/>
      <c r="C487" s="253"/>
      <c r="D487" s="253"/>
      <c r="E487" s="115"/>
      <c r="F487" s="275"/>
      <c r="G487" s="275"/>
      <c r="H487" s="275"/>
      <c r="I487" s="115"/>
      <c r="J487" s="115"/>
      <c r="K487" s="276"/>
      <c r="L487" s="115"/>
      <c r="M487" s="115"/>
      <c r="N487" s="115"/>
      <c r="O487" s="115"/>
      <c r="P487" s="254"/>
      <c r="Q487" s="254"/>
      <c r="R487" s="254"/>
      <c r="T487" s="254"/>
      <c r="U487" s="254"/>
    </row>
    <row r="488" spans="1:21" ht="15">
      <c r="A488" s="253"/>
      <c r="B488" s="253"/>
      <c r="C488" s="253"/>
      <c r="D488" s="253"/>
      <c r="E488" s="115"/>
      <c r="F488" s="275"/>
      <c r="G488" s="275"/>
      <c r="H488" s="275"/>
      <c r="I488" s="115"/>
      <c r="J488" s="115"/>
      <c r="K488" s="276"/>
      <c r="L488" s="115"/>
      <c r="M488" s="115"/>
      <c r="N488" s="115"/>
      <c r="O488" s="115"/>
      <c r="P488" s="254"/>
      <c r="Q488" s="254"/>
      <c r="R488" s="254"/>
      <c r="T488" s="254"/>
      <c r="U488" s="254"/>
    </row>
    <row r="489" spans="1:21" ht="15">
      <c r="A489" s="253"/>
      <c r="B489" s="253"/>
      <c r="C489" s="253"/>
      <c r="D489" s="253"/>
      <c r="E489" s="115"/>
      <c r="F489" s="275"/>
      <c r="G489" s="275"/>
      <c r="H489" s="275"/>
      <c r="I489" s="115"/>
      <c r="J489" s="115"/>
      <c r="K489" s="276"/>
      <c r="L489" s="115"/>
      <c r="M489" s="115"/>
      <c r="N489" s="115"/>
      <c r="O489" s="115"/>
      <c r="P489" s="254"/>
      <c r="Q489" s="254"/>
      <c r="R489" s="254"/>
      <c r="T489" s="254"/>
      <c r="U489" s="254"/>
    </row>
    <row r="490" spans="1:21" ht="15">
      <c r="A490" s="253"/>
      <c r="B490" s="253"/>
      <c r="C490" s="253"/>
      <c r="D490" s="253"/>
      <c r="E490" s="115"/>
      <c r="F490" s="275"/>
      <c r="G490" s="275"/>
      <c r="H490" s="275"/>
      <c r="I490" s="115"/>
      <c r="J490" s="115"/>
      <c r="K490" s="276"/>
      <c r="L490" s="115"/>
      <c r="M490" s="115"/>
      <c r="N490" s="115"/>
      <c r="O490" s="115"/>
      <c r="P490" s="254"/>
      <c r="Q490" s="254"/>
      <c r="R490" s="254"/>
      <c r="T490" s="254"/>
      <c r="U490" s="254"/>
    </row>
    <row r="491" spans="1:21" ht="15">
      <c r="A491" s="253"/>
      <c r="B491" s="253"/>
      <c r="C491" s="253"/>
      <c r="D491" s="253"/>
      <c r="E491" s="115"/>
      <c r="F491" s="275"/>
      <c r="G491" s="275"/>
      <c r="H491" s="275"/>
      <c r="I491" s="115"/>
      <c r="J491" s="115"/>
      <c r="K491" s="276"/>
      <c r="L491" s="115"/>
      <c r="M491" s="115"/>
      <c r="N491" s="115"/>
      <c r="O491" s="115"/>
      <c r="P491" s="254"/>
      <c r="Q491" s="254"/>
      <c r="R491" s="254"/>
      <c r="T491" s="254"/>
      <c r="U491" s="254"/>
    </row>
    <row r="492" spans="1:21" ht="15">
      <c r="A492" s="253"/>
      <c r="B492" s="253"/>
      <c r="C492" s="253"/>
      <c r="D492" s="253"/>
      <c r="E492" s="115"/>
      <c r="F492" s="275"/>
      <c r="G492" s="275"/>
      <c r="H492" s="275"/>
      <c r="I492" s="115"/>
      <c r="J492" s="115"/>
      <c r="K492" s="276"/>
      <c r="L492" s="115"/>
      <c r="M492" s="115"/>
      <c r="N492" s="115"/>
      <c r="O492" s="115"/>
      <c r="P492" s="254"/>
      <c r="Q492" s="254"/>
      <c r="R492" s="254"/>
      <c r="T492" s="254"/>
      <c r="U492" s="254"/>
    </row>
    <row r="493" spans="1:21" ht="15">
      <c r="A493" s="253"/>
      <c r="B493" s="253"/>
      <c r="C493" s="253"/>
      <c r="D493" s="253"/>
      <c r="E493" s="115"/>
      <c r="F493" s="275"/>
      <c r="G493" s="275"/>
      <c r="H493" s="275"/>
      <c r="I493" s="115"/>
      <c r="J493" s="115"/>
      <c r="K493" s="276"/>
      <c r="L493" s="115"/>
      <c r="M493" s="115"/>
      <c r="N493" s="115"/>
      <c r="O493" s="115"/>
      <c r="P493" s="254"/>
      <c r="Q493" s="254"/>
      <c r="R493" s="254"/>
      <c r="T493" s="254"/>
      <c r="U493" s="254"/>
    </row>
    <row r="494" spans="1:21" ht="15">
      <c r="A494" s="253"/>
      <c r="B494" s="253"/>
      <c r="C494" s="253"/>
      <c r="D494" s="253"/>
      <c r="E494" s="115"/>
      <c r="F494" s="275"/>
      <c r="G494" s="275"/>
      <c r="H494" s="275"/>
      <c r="I494" s="115"/>
      <c r="J494" s="115"/>
      <c r="K494" s="276"/>
      <c r="L494" s="115"/>
      <c r="M494" s="115"/>
      <c r="N494" s="115"/>
      <c r="O494" s="115"/>
      <c r="P494" s="254"/>
      <c r="Q494" s="254"/>
      <c r="R494" s="254"/>
      <c r="T494" s="254"/>
      <c r="U494" s="254"/>
    </row>
    <row r="495" spans="1:21" ht="15">
      <c r="A495" s="253"/>
      <c r="B495" s="253"/>
      <c r="C495" s="253"/>
      <c r="D495" s="253"/>
      <c r="E495" s="115"/>
      <c r="F495" s="275"/>
      <c r="G495" s="275"/>
      <c r="H495" s="275"/>
      <c r="I495" s="115"/>
      <c r="J495" s="115"/>
      <c r="K495" s="276"/>
      <c r="L495" s="115"/>
      <c r="M495" s="115"/>
      <c r="N495" s="115"/>
      <c r="O495" s="115"/>
      <c r="P495" s="254"/>
      <c r="Q495" s="254"/>
      <c r="R495" s="254"/>
      <c r="T495" s="254"/>
      <c r="U495" s="254"/>
    </row>
    <row r="496" spans="1:21" ht="15">
      <c r="A496" s="253"/>
      <c r="B496" s="253"/>
      <c r="C496" s="253"/>
      <c r="D496" s="253"/>
      <c r="E496" s="115"/>
      <c r="F496" s="275"/>
      <c r="G496" s="275"/>
      <c r="H496" s="275"/>
      <c r="I496" s="115"/>
      <c r="J496" s="115"/>
      <c r="K496" s="276"/>
      <c r="L496" s="115"/>
      <c r="M496" s="115"/>
      <c r="N496" s="115"/>
      <c r="O496" s="115"/>
      <c r="P496" s="254"/>
      <c r="Q496" s="254"/>
      <c r="R496" s="254"/>
      <c r="T496" s="254"/>
      <c r="U496" s="254"/>
    </row>
    <row r="497" spans="1:21" ht="15">
      <c r="A497" s="253"/>
      <c r="B497" s="253"/>
      <c r="C497" s="253"/>
      <c r="D497" s="253"/>
      <c r="E497" s="115"/>
      <c r="F497" s="275"/>
      <c r="G497" s="275"/>
      <c r="H497" s="275"/>
      <c r="I497" s="115"/>
      <c r="J497" s="115"/>
      <c r="K497" s="276"/>
      <c r="L497" s="115"/>
      <c r="M497" s="115"/>
      <c r="N497" s="115"/>
      <c r="O497" s="115"/>
      <c r="P497" s="254"/>
      <c r="Q497" s="254"/>
      <c r="R497" s="254"/>
      <c r="T497" s="254"/>
      <c r="U497" s="254"/>
    </row>
    <row r="498" spans="1:21" ht="15">
      <c r="A498" s="253"/>
      <c r="B498" s="253"/>
      <c r="C498" s="253"/>
      <c r="D498" s="253"/>
      <c r="E498" s="115"/>
      <c r="F498" s="275"/>
      <c r="G498" s="275"/>
      <c r="H498" s="275"/>
      <c r="I498" s="115"/>
      <c r="J498" s="115"/>
      <c r="K498" s="276"/>
      <c r="L498" s="115"/>
      <c r="M498" s="115"/>
      <c r="N498" s="115"/>
      <c r="O498" s="115"/>
      <c r="P498" s="254"/>
      <c r="Q498" s="254"/>
      <c r="R498" s="254"/>
      <c r="T498" s="254"/>
      <c r="U498" s="254"/>
    </row>
    <row r="499" spans="1:21" ht="15">
      <c r="A499" s="253"/>
      <c r="B499" s="253"/>
      <c r="C499" s="253"/>
      <c r="D499" s="253"/>
      <c r="E499" s="115"/>
      <c r="F499" s="275"/>
      <c r="G499" s="275"/>
      <c r="H499" s="275"/>
      <c r="I499" s="115"/>
      <c r="J499" s="115"/>
      <c r="K499" s="276"/>
      <c r="L499" s="115"/>
      <c r="M499" s="115"/>
      <c r="N499" s="115"/>
      <c r="O499" s="115"/>
      <c r="P499" s="254"/>
      <c r="Q499" s="254"/>
      <c r="R499" s="254"/>
      <c r="T499" s="254"/>
      <c r="U499" s="254"/>
    </row>
    <row r="500" spans="1:21" ht="15">
      <c r="A500" s="253"/>
      <c r="B500" s="253"/>
      <c r="C500" s="253"/>
      <c r="D500" s="253"/>
      <c r="E500" s="115"/>
      <c r="F500" s="275"/>
      <c r="G500" s="275"/>
      <c r="H500" s="275"/>
      <c r="I500" s="115"/>
      <c r="J500" s="115"/>
      <c r="K500" s="276"/>
      <c r="L500" s="115"/>
      <c r="M500" s="115"/>
      <c r="N500" s="115"/>
      <c r="O500" s="115"/>
      <c r="P500" s="254"/>
      <c r="Q500" s="254"/>
      <c r="R500" s="254"/>
      <c r="T500" s="254"/>
      <c r="U500" s="254"/>
    </row>
    <row r="501" spans="1:21" ht="15">
      <c r="A501" s="253"/>
      <c r="B501" s="253"/>
      <c r="C501" s="253"/>
      <c r="D501" s="253"/>
      <c r="E501" s="115"/>
      <c r="F501" s="275"/>
      <c r="G501" s="275"/>
      <c r="H501" s="275"/>
      <c r="I501" s="115"/>
      <c r="J501" s="115"/>
      <c r="K501" s="276"/>
      <c r="L501" s="115"/>
      <c r="M501" s="115"/>
      <c r="N501" s="115"/>
      <c r="O501" s="115"/>
      <c r="P501" s="254"/>
      <c r="Q501" s="254"/>
      <c r="R501" s="254"/>
      <c r="T501" s="254"/>
      <c r="U501" s="254"/>
    </row>
    <row r="502" spans="1:21" ht="15">
      <c r="A502" s="253"/>
      <c r="B502" s="253"/>
      <c r="C502" s="253"/>
      <c r="D502" s="253"/>
      <c r="E502" s="115"/>
      <c r="F502" s="275"/>
      <c r="G502" s="275"/>
      <c r="H502" s="275"/>
      <c r="I502" s="115"/>
      <c r="J502" s="115"/>
      <c r="K502" s="276"/>
      <c r="L502" s="115"/>
      <c r="M502" s="115"/>
      <c r="N502" s="115"/>
      <c r="O502" s="115"/>
      <c r="P502" s="254"/>
      <c r="Q502" s="254"/>
      <c r="R502" s="254"/>
      <c r="T502" s="254"/>
      <c r="U502" s="254"/>
    </row>
    <row r="503" spans="1:21" ht="15">
      <c r="A503" s="253"/>
      <c r="B503" s="253"/>
      <c r="C503" s="253"/>
      <c r="D503" s="253"/>
      <c r="E503" s="115"/>
      <c r="F503" s="275"/>
      <c r="G503" s="275"/>
      <c r="H503" s="275"/>
      <c r="I503" s="115"/>
      <c r="J503" s="115"/>
      <c r="K503" s="276"/>
      <c r="L503" s="115"/>
      <c r="M503" s="115"/>
      <c r="N503" s="115"/>
      <c r="O503" s="115"/>
      <c r="P503" s="254"/>
      <c r="Q503" s="254"/>
      <c r="R503" s="254"/>
      <c r="T503" s="254"/>
      <c r="U503" s="254"/>
    </row>
    <row r="504" spans="1:21" ht="15">
      <c r="A504" s="253"/>
      <c r="B504" s="253"/>
      <c r="C504" s="253"/>
      <c r="D504" s="253"/>
      <c r="E504" s="115"/>
      <c r="F504" s="275"/>
      <c r="G504" s="275"/>
      <c r="H504" s="275"/>
      <c r="I504" s="115"/>
      <c r="J504" s="115"/>
      <c r="K504" s="276"/>
      <c r="L504" s="115"/>
      <c r="M504" s="115"/>
      <c r="N504" s="115"/>
      <c r="O504" s="115"/>
      <c r="P504" s="254"/>
      <c r="Q504" s="254"/>
      <c r="R504" s="254"/>
      <c r="T504" s="254"/>
      <c r="U504" s="254"/>
    </row>
    <row r="505" spans="1:21" ht="15">
      <c r="A505" s="253"/>
      <c r="B505" s="253"/>
      <c r="C505" s="253"/>
      <c r="D505" s="253"/>
      <c r="E505" s="115"/>
      <c r="F505" s="275"/>
      <c r="G505" s="275"/>
      <c r="H505" s="275"/>
      <c r="I505" s="115"/>
      <c r="J505" s="115"/>
      <c r="K505" s="276"/>
      <c r="L505" s="115"/>
      <c r="M505" s="115"/>
      <c r="N505" s="115"/>
      <c r="O505" s="115"/>
      <c r="P505" s="254"/>
      <c r="Q505" s="254"/>
      <c r="R505" s="254"/>
      <c r="T505" s="254"/>
      <c r="U505" s="254"/>
    </row>
    <row r="506" spans="1:21" ht="15">
      <c r="A506" s="253"/>
      <c r="B506" s="253"/>
      <c r="C506" s="253"/>
      <c r="D506" s="253"/>
      <c r="E506" s="115"/>
      <c r="F506" s="275"/>
      <c r="G506" s="275"/>
      <c r="H506" s="275"/>
      <c r="I506" s="115"/>
      <c r="J506" s="115"/>
      <c r="K506" s="276"/>
      <c r="L506" s="115"/>
      <c r="M506" s="115"/>
      <c r="N506" s="115"/>
      <c r="O506" s="115"/>
      <c r="P506" s="254"/>
      <c r="Q506" s="254"/>
      <c r="R506" s="254"/>
      <c r="T506" s="254"/>
      <c r="U506" s="254"/>
    </row>
    <row r="507" spans="1:21" ht="15">
      <c r="A507" s="253"/>
      <c r="B507" s="253"/>
      <c r="C507" s="253"/>
      <c r="D507" s="253"/>
      <c r="E507" s="115"/>
      <c r="F507" s="275"/>
      <c r="G507" s="275"/>
      <c r="H507" s="275"/>
      <c r="I507" s="115"/>
      <c r="J507" s="115"/>
      <c r="K507" s="276"/>
      <c r="L507" s="115"/>
      <c r="M507" s="115"/>
      <c r="N507" s="115"/>
      <c r="O507" s="115"/>
      <c r="P507" s="254"/>
      <c r="Q507" s="254"/>
      <c r="R507" s="254"/>
      <c r="T507" s="254"/>
      <c r="U507" s="254"/>
    </row>
    <row r="508" spans="1:21" ht="15">
      <c r="A508" s="253"/>
      <c r="B508" s="253"/>
      <c r="C508" s="253"/>
      <c r="D508" s="253"/>
      <c r="E508" s="115"/>
      <c r="F508" s="275"/>
      <c r="G508" s="275"/>
      <c r="H508" s="275"/>
      <c r="I508" s="115"/>
      <c r="J508" s="115"/>
      <c r="K508" s="276"/>
      <c r="L508" s="115"/>
      <c r="M508" s="115"/>
      <c r="N508" s="115"/>
      <c r="O508" s="115"/>
      <c r="P508" s="254"/>
      <c r="Q508" s="254"/>
      <c r="R508" s="254"/>
      <c r="T508" s="254"/>
      <c r="U508" s="254"/>
    </row>
    <row r="509" spans="1:21" ht="15">
      <c r="A509" s="253"/>
      <c r="B509" s="253"/>
      <c r="C509" s="253"/>
      <c r="D509" s="253"/>
      <c r="E509" s="115"/>
      <c r="F509" s="275"/>
      <c r="G509" s="275"/>
      <c r="H509" s="275"/>
      <c r="I509" s="115"/>
      <c r="J509" s="115"/>
      <c r="K509" s="276"/>
      <c r="L509" s="115"/>
      <c r="M509" s="115"/>
      <c r="N509" s="115"/>
      <c r="O509" s="115"/>
      <c r="P509" s="254"/>
      <c r="Q509" s="254"/>
      <c r="R509" s="254"/>
      <c r="T509" s="254"/>
      <c r="U509" s="254"/>
    </row>
    <row r="510" spans="1:21" ht="15">
      <c r="A510" s="253"/>
      <c r="B510" s="253"/>
      <c r="C510" s="253"/>
      <c r="D510" s="253"/>
      <c r="E510" s="115"/>
      <c r="F510" s="275"/>
      <c r="G510" s="275"/>
      <c r="H510" s="275"/>
      <c r="I510" s="115"/>
      <c r="J510" s="115"/>
      <c r="K510" s="276"/>
      <c r="L510" s="115"/>
      <c r="M510" s="115"/>
      <c r="N510" s="115"/>
      <c r="O510" s="115"/>
      <c r="P510" s="254"/>
      <c r="Q510" s="254"/>
      <c r="R510" s="254"/>
      <c r="T510" s="254"/>
      <c r="U510" s="254"/>
    </row>
    <row r="511" spans="1:21" ht="15">
      <c r="A511" s="253"/>
      <c r="B511" s="253"/>
      <c r="C511" s="253"/>
      <c r="D511" s="253"/>
      <c r="E511" s="115"/>
      <c r="F511" s="275"/>
      <c r="G511" s="275"/>
      <c r="H511" s="275"/>
      <c r="I511" s="115"/>
      <c r="J511" s="115"/>
      <c r="K511" s="276"/>
      <c r="L511" s="115"/>
      <c r="M511" s="115"/>
      <c r="N511" s="115"/>
      <c r="O511" s="115"/>
      <c r="P511" s="254"/>
      <c r="Q511" s="254"/>
      <c r="R511" s="254"/>
      <c r="T511" s="254"/>
      <c r="U511" s="254"/>
    </row>
    <row r="512" spans="1:21" ht="15">
      <c r="A512" s="253"/>
      <c r="B512" s="253"/>
      <c r="C512" s="253"/>
      <c r="D512" s="253"/>
      <c r="E512" s="115"/>
      <c r="F512" s="275"/>
      <c r="G512" s="275"/>
      <c r="H512" s="275"/>
      <c r="I512" s="115"/>
      <c r="J512" s="115"/>
      <c r="K512" s="276"/>
      <c r="L512" s="115"/>
      <c r="M512" s="115"/>
      <c r="N512" s="115"/>
      <c r="O512" s="115"/>
      <c r="P512" s="254"/>
      <c r="Q512" s="254"/>
      <c r="R512" s="254"/>
      <c r="T512" s="254"/>
      <c r="U512" s="254"/>
    </row>
    <row r="513" spans="1:21" ht="15">
      <c r="A513" s="253"/>
      <c r="B513" s="253"/>
      <c r="C513" s="253"/>
      <c r="D513" s="253"/>
      <c r="E513" s="115"/>
      <c r="F513" s="275"/>
      <c r="G513" s="275"/>
      <c r="H513" s="275"/>
      <c r="I513" s="115"/>
      <c r="J513" s="115"/>
      <c r="K513" s="276"/>
      <c r="L513" s="115"/>
      <c r="M513" s="115"/>
      <c r="N513" s="115"/>
      <c r="O513" s="115"/>
      <c r="P513" s="254"/>
      <c r="Q513" s="254"/>
      <c r="R513" s="254"/>
      <c r="T513" s="254"/>
      <c r="U513" s="254"/>
    </row>
    <row r="514" spans="1:21" ht="15">
      <c r="A514" s="253"/>
      <c r="B514" s="253"/>
      <c r="C514" s="253"/>
      <c r="D514" s="253"/>
      <c r="E514" s="115"/>
      <c r="F514" s="275"/>
      <c r="G514" s="275"/>
      <c r="H514" s="275"/>
      <c r="I514" s="115"/>
      <c r="J514" s="115"/>
      <c r="K514" s="276"/>
      <c r="L514" s="115"/>
      <c r="M514" s="115"/>
      <c r="N514" s="115"/>
      <c r="O514" s="115"/>
      <c r="P514" s="254"/>
      <c r="Q514" s="254"/>
      <c r="R514" s="254"/>
      <c r="T514" s="254"/>
      <c r="U514" s="254"/>
    </row>
    <row r="515" spans="1:21" ht="15">
      <c r="A515" s="253"/>
      <c r="B515" s="253"/>
      <c r="C515" s="253"/>
      <c r="D515" s="253"/>
      <c r="E515" s="115"/>
      <c r="F515" s="275"/>
      <c r="G515" s="275"/>
      <c r="H515" s="275"/>
      <c r="I515" s="115"/>
      <c r="J515" s="115"/>
      <c r="K515" s="276"/>
      <c r="L515" s="115"/>
      <c r="M515" s="115"/>
      <c r="N515" s="115"/>
      <c r="O515" s="115"/>
      <c r="P515" s="254"/>
      <c r="Q515" s="254"/>
      <c r="R515" s="254"/>
      <c r="T515" s="254"/>
      <c r="U515" s="254"/>
    </row>
    <row r="516" spans="1:21" ht="15">
      <c r="A516" s="253"/>
      <c r="B516" s="253"/>
      <c r="C516" s="253"/>
      <c r="D516" s="253"/>
      <c r="E516" s="115"/>
      <c r="F516" s="275"/>
      <c r="G516" s="275"/>
      <c r="H516" s="275"/>
      <c r="I516" s="115"/>
      <c r="J516" s="115"/>
      <c r="K516" s="276"/>
      <c r="L516" s="115"/>
      <c r="M516" s="115"/>
      <c r="N516" s="115"/>
      <c r="O516" s="115"/>
      <c r="P516" s="254"/>
      <c r="Q516" s="254"/>
      <c r="R516" s="254"/>
      <c r="T516" s="254"/>
      <c r="U516" s="254"/>
    </row>
    <row r="517" spans="1:21" ht="15">
      <c r="A517" s="253"/>
      <c r="B517" s="253"/>
      <c r="C517" s="253"/>
      <c r="D517" s="253"/>
      <c r="E517" s="115"/>
      <c r="F517" s="275"/>
      <c r="G517" s="275"/>
      <c r="H517" s="275"/>
      <c r="I517" s="115"/>
      <c r="J517" s="115"/>
      <c r="K517" s="276"/>
      <c r="L517" s="115"/>
      <c r="M517" s="115"/>
      <c r="N517" s="115"/>
      <c r="O517" s="115"/>
      <c r="P517" s="254"/>
      <c r="Q517" s="254"/>
      <c r="R517" s="254"/>
      <c r="T517" s="254"/>
      <c r="U517" s="254"/>
    </row>
    <row r="518" spans="1:21" ht="15">
      <c r="A518" s="253"/>
      <c r="B518" s="253"/>
      <c r="C518" s="253"/>
      <c r="D518" s="253"/>
      <c r="E518" s="115"/>
      <c r="F518" s="275"/>
      <c r="G518" s="275"/>
      <c r="H518" s="275"/>
      <c r="I518" s="115"/>
      <c r="J518" s="115"/>
      <c r="K518" s="276"/>
      <c r="L518" s="115"/>
      <c r="M518" s="115"/>
      <c r="N518" s="115"/>
      <c r="O518" s="115"/>
      <c r="P518" s="254"/>
      <c r="Q518" s="254"/>
      <c r="R518" s="254"/>
      <c r="T518" s="254"/>
      <c r="U518" s="254"/>
    </row>
    <row r="519" spans="1:21" ht="15">
      <c r="A519" s="253"/>
      <c r="B519" s="253"/>
      <c r="C519" s="253"/>
      <c r="D519" s="253"/>
      <c r="E519" s="115"/>
      <c r="F519" s="275"/>
      <c r="G519" s="275"/>
      <c r="H519" s="275"/>
      <c r="I519" s="115"/>
      <c r="J519" s="115"/>
      <c r="K519" s="276"/>
      <c r="L519" s="115"/>
      <c r="M519" s="115"/>
      <c r="N519" s="115"/>
      <c r="O519" s="115"/>
      <c r="P519" s="254"/>
      <c r="Q519" s="254"/>
      <c r="R519" s="254"/>
      <c r="T519" s="254"/>
      <c r="U519" s="254"/>
    </row>
    <row r="520" spans="1:21" ht="15">
      <c r="A520" s="253"/>
      <c r="B520" s="253"/>
      <c r="C520" s="253"/>
      <c r="D520" s="253"/>
      <c r="E520" s="115"/>
      <c r="F520" s="275"/>
      <c r="G520" s="275"/>
      <c r="H520" s="275"/>
      <c r="I520" s="115"/>
      <c r="J520" s="115"/>
      <c r="K520" s="276"/>
      <c r="L520" s="115"/>
      <c r="M520" s="115"/>
      <c r="N520" s="115"/>
      <c r="O520" s="115"/>
      <c r="P520" s="254"/>
      <c r="Q520" s="254"/>
      <c r="R520" s="254"/>
      <c r="T520" s="254"/>
      <c r="U520" s="254"/>
    </row>
    <row r="521" spans="1:21" ht="15">
      <c r="A521" s="253"/>
      <c r="B521" s="253"/>
      <c r="C521" s="253"/>
      <c r="D521" s="253"/>
      <c r="E521" s="115"/>
      <c r="F521" s="275"/>
      <c r="G521" s="275"/>
      <c r="H521" s="275"/>
      <c r="I521" s="115"/>
      <c r="J521" s="115"/>
      <c r="K521" s="276"/>
      <c r="L521" s="115"/>
      <c r="M521" s="115"/>
      <c r="N521" s="115"/>
      <c r="O521" s="115"/>
      <c r="P521" s="254"/>
      <c r="Q521" s="254"/>
      <c r="R521" s="254"/>
      <c r="T521" s="254"/>
      <c r="U521" s="254"/>
    </row>
    <row r="522" spans="1:21" ht="15">
      <c r="A522" s="253"/>
      <c r="B522" s="253"/>
      <c r="C522" s="253"/>
      <c r="D522" s="253"/>
      <c r="E522" s="115"/>
      <c r="F522" s="275"/>
      <c r="G522" s="275"/>
      <c r="H522" s="275"/>
      <c r="I522" s="115"/>
      <c r="J522" s="115"/>
      <c r="K522" s="276"/>
      <c r="L522" s="115"/>
      <c r="M522" s="115"/>
      <c r="N522" s="115"/>
      <c r="O522" s="115"/>
      <c r="P522" s="254"/>
      <c r="Q522" s="254"/>
      <c r="R522" s="254"/>
      <c r="T522" s="254"/>
      <c r="U522" s="254"/>
    </row>
    <row r="523" spans="1:21" ht="15">
      <c r="A523" s="253"/>
      <c r="B523" s="253"/>
      <c r="C523" s="253"/>
      <c r="D523" s="253"/>
      <c r="E523" s="115"/>
      <c r="F523" s="275"/>
      <c r="G523" s="275"/>
      <c r="H523" s="275"/>
      <c r="I523" s="115"/>
      <c r="J523" s="115"/>
      <c r="K523" s="276"/>
      <c r="L523" s="115"/>
      <c r="M523" s="115"/>
      <c r="N523" s="115"/>
      <c r="O523" s="115"/>
      <c r="P523" s="254"/>
      <c r="Q523" s="254"/>
      <c r="R523" s="254"/>
      <c r="T523" s="254"/>
      <c r="U523" s="254"/>
    </row>
    <row r="524" spans="1:21" ht="15">
      <c r="A524" s="253"/>
      <c r="B524" s="253"/>
      <c r="C524" s="253"/>
      <c r="D524" s="253"/>
      <c r="E524" s="115"/>
      <c r="F524" s="275"/>
      <c r="G524" s="275"/>
      <c r="H524" s="275"/>
      <c r="I524" s="115"/>
      <c r="J524" s="115"/>
      <c r="K524" s="276"/>
      <c r="L524" s="115"/>
      <c r="M524" s="115"/>
      <c r="N524" s="115"/>
      <c r="O524" s="115"/>
      <c r="P524" s="254"/>
      <c r="Q524" s="254"/>
      <c r="R524" s="254"/>
      <c r="T524" s="254"/>
      <c r="U524" s="254"/>
    </row>
    <row r="525" spans="1:21" ht="15">
      <c r="A525" s="253"/>
      <c r="B525" s="253"/>
      <c r="C525" s="253"/>
      <c r="D525" s="253"/>
      <c r="E525" s="115"/>
      <c r="F525" s="275"/>
      <c r="G525" s="275"/>
      <c r="H525" s="275"/>
      <c r="I525" s="115"/>
      <c r="J525" s="115"/>
      <c r="K525" s="276"/>
      <c r="L525" s="115"/>
      <c r="M525" s="115"/>
      <c r="N525" s="115"/>
      <c r="O525" s="115"/>
      <c r="P525" s="254"/>
      <c r="Q525" s="254"/>
      <c r="R525" s="254"/>
      <c r="T525" s="254"/>
      <c r="U525" s="254"/>
    </row>
    <row r="526" spans="1:21" ht="15">
      <c r="A526" s="253"/>
      <c r="B526" s="253"/>
      <c r="C526" s="253"/>
      <c r="D526" s="253"/>
      <c r="E526" s="115"/>
      <c r="F526" s="275"/>
      <c r="G526" s="275"/>
      <c r="H526" s="275"/>
      <c r="I526" s="115"/>
      <c r="J526" s="115"/>
      <c r="K526" s="276"/>
      <c r="L526" s="115"/>
      <c r="M526" s="115"/>
      <c r="N526" s="115"/>
      <c r="O526" s="115"/>
      <c r="P526" s="254"/>
      <c r="Q526" s="254"/>
      <c r="R526" s="254"/>
      <c r="T526" s="254"/>
      <c r="U526" s="254"/>
    </row>
    <row r="527" spans="1:21" ht="15">
      <c r="A527" s="253"/>
      <c r="B527" s="253"/>
      <c r="C527" s="253"/>
      <c r="D527" s="253"/>
      <c r="E527" s="115"/>
      <c r="F527" s="275"/>
      <c r="G527" s="275"/>
      <c r="H527" s="275"/>
      <c r="I527" s="115"/>
      <c r="J527" s="115"/>
      <c r="K527" s="276"/>
      <c r="L527" s="115"/>
      <c r="M527" s="115"/>
      <c r="N527" s="115"/>
      <c r="O527" s="115"/>
      <c r="P527" s="254"/>
      <c r="Q527" s="254"/>
      <c r="R527" s="254"/>
      <c r="T527" s="254"/>
      <c r="U527" s="254"/>
    </row>
    <row r="528" spans="1:21" ht="15">
      <c r="A528" s="253"/>
      <c r="B528" s="253"/>
      <c r="C528" s="253"/>
      <c r="D528" s="253"/>
      <c r="E528" s="115"/>
      <c r="F528" s="275"/>
      <c r="G528" s="275"/>
      <c r="H528" s="275"/>
      <c r="I528" s="115"/>
      <c r="J528" s="115"/>
      <c r="K528" s="276"/>
      <c r="L528" s="115"/>
      <c r="M528" s="115"/>
      <c r="N528" s="115"/>
      <c r="O528" s="115"/>
      <c r="P528" s="254"/>
      <c r="Q528" s="254"/>
      <c r="R528" s="254"/>
      <c r="T528" s="254"/>
      <c r="U528" s="254"/>
    </row>
    <row r="529" spans="1:21" ht="15">
      <c r="A529" s="253"/>
      <c r="B529" s="253"/>
      <c r="C529" s="253"/>
      <c r="D529" s="253"/>
      <c r="E529" s="115"/>
      <c r="F529" s="275"/>
      <c r="G529" s="275"/>
      <c r="H529" s="275"/>
      <c r="I529" s="115"/>
      <c r="J529" s="115"/>
      <c r="K529" s="276"/>
      <c r="L529" s="115"/>
      <c r="M529" s="115"/>
      <c r="N529" s="115"/>
      <c r="O529" s="115"/>
      <c r="P529" s="254"/>
      <c r="Q529" s="254"/>
      <c r="R529" s="254"/>
      <c r="T529" s="254"/>
      <c r="U529" s="254"/>
    </row>
    <row r="530" spans="1:21" ht="15">
      <c r="A530" s="253"/>
      <c r="B530" s="253"/>
      <c r="C530" s="253"/>
      <c r="D530" s="253"/>
      <c r="E530" s="115"/>
      <c r="F530" s="275"/>
      <c r="G530" s="275"/>
      <c r="H530" s="275"/>
      <c r="I530" s="115"/>
      <c r="J530" s="115"/>
      <c r="K530" s="276"/>
      <c r="L530" s="115"/>
      <c r="M530" s="115"/>
      <c r="N530" s="115"/>
      <c r="O530" s="115"/>
      <c r="P530" s="254"/>
      <c r="Q530" s="254"/>
      <c r="R530" s="254"/>
      <c r="T530" s="254"/>
      <c r="U530" s="254"/>
    </row>
    <row r="531" spans="1:21" ht="15">
      <c r="A531" s="253"/>
      <c r="B531" s="253"/>
      <c r="C531" s="253"/>
      <c r="D531" s="253"/>
      <c r="E531" s="115"/>
      <c r="F531" s="275"/>
      <c r="G531" s="275"/>
      <c r="H531" s="275"/>
      <c r="I531" s="115"/>
      <c r="J531" s="115"/>
      <c r="K531" s="276"/>
      <c r="L531" s="115"/>
      <c r="M531" s="115"/>
      <c r="N531" s="115"/>
      <c r="O531" s="115"/>
      <c r="P531" s="254"/>
      <c r="Q531" s="254"/>
      <c r="R531" s="254"/>
      <c r="T531" s="254"/>
      <c r="U531" s="254"/>
    </row>
    <row r="532" spans="1:21" ht="15">
      <c r="A532" s="253"/>
      <c r="B532" s="253"/>
      <c r="C532" s="253"/>
      <c r="D532" s="253"/>
      <c r="E532" s="115"/>
      <c r="F532" s="275"/>
      <c r="G532" s="275"/>
      <c r="H532" s="275"/>
      <c r="I532" s="115"/>
      <c r="J532" s="115"/>
      <c r="K532" s="276"/>
      <c r="L532" s="115"/>
      <c r="M532" s="115"/>
      <c r="N532" s="115"/>
      <c r="O532" s="115"/>
      <c r="P532" s="254"/>
      <c r="Q532" s="254"/>
      <c r="R532" s="254"/>
      <c r="T532" s="254"/>
      <c r="U532" s="254"/>
    </row>
    <row r="533" spans="1:21" ht="15">
      <c r="A533" s="253"/>
      <c r="B533" s="253"/>
      <c r="C533" s="253"/>
      <c r="D533" s="253"/>
      <c r="E533" s="115"/>
      <c r="F533" s="275"/>
      <c r="G533" s="275"/>
      <c r="H533" s="275"/>
      <c r="I533" s="115"/>
      <c r="J533" s="115"/>
      <c r="K533" s="276"/>
      <c r="L533" s="115"/>
      <c r="M533" s="115"/>
      <c r="N533" s="115"/>
      <c r="O533" s="115"/>
      <c r="P533" s="254"/>
      <c r="Q533" s="254"/>
      <c r="R533" s="254"/>
      <c r="T533" s="254"/>
      <c r="U533" s="254"/>
    </row>
    <row r="534" spans="1:21" ht="15">
      <c r="A534" s="253"/>
      <c r="B534" s="253"/>
      <c r="C534" s="253"/>
      <c r="D534" s="253"/>
      <c r="E534" s="115"/>
      <c r="F534" s="275"/>
      <c r="G534" s="275"/>
      <c r="H534" s="275"/>
      <c r="I534" s="115"/>
      <c r="J534" s="115"/>
      <c r="K534" s="276"/>
      <c r="L534" s="115"/>
      <c r="M534" s="115"/>
      <c r="N534" s="115"/>
      <c r="O534" s="115"/>
      <c r="P534" s="254"/>
      <c r="Q534" s="254"/>
      <c r="R534" s="254"/>
      <c r="T534" s="254"/>
      <c r="U534" s="254"/>
    </row>
    <row r="535" spans="1:21" ht="15">
      <c r="A535" s="253"/>
      <c r="B535" s="253"/>
      <c r="C535" s="253"/>
      <c r="D535" s="253"/>
      <c r="E535" s="115"/>
      <c r="F535" s="275"/>
      <c r="G535" s="275"/>
      <c r="H535" s="275"/>
      <c r="I535" s="115"/>
      <c r="J535" s="115"/>
      <c r="K535" s="276"/>
      <c r="L535" s="115"/>
      <c r="M535" s="115"/>
      <c r="N535" s="115"/>
      <c r="O535" s="115"/>
      <c r="P535" s="254"/>
      <c r="Q535" s="254"/>
      <c r="R535" s="254"/>
      <c r="T535" s="254"/>
      <c r="U535" s="254"/>
    </row>
    <row r="536" spans="1:21" ht="15">
      <c r="A536" s="253"/>
      <c r="B536" s="253"/>
      <c r="C536" s="253"/>
      <c r="D536" s="253"/>
      <c r="E536" s="115"/>
      <c r="F536" s="275"/>
      <c r="G536" s="275"/>
      <c r="H536" s="275"/>
      <c r="I536" s="115"/>
      <c r="J536" s="115"/>
      <c r="K536" s="276"/>
      <c r="L536" s="115"/>
      <c r="M536" s="115"/>
      <c r="N536" s="115"/>
      <c r="O536" s="115"/>
      <c r="P536" s="254"/>
      <c r="Q536" s="254"/>
      <c r="R536" s="254"/>
      <c r="T536" s="254"/>
      <c r="U536" s="254"/>
    </row>
    <row r="537" spans="1:21" ht="15">
      <c r="A537" s="253"/>
      <c r="B537" s="253"/>
      <c r="C537" s="253"/>
      <c r="D537" s="253"/>
      <c r="E537" s="115"/>
      <c r="F537" s="275"/>
      <c r="G537" s="275"/>
      <c r="H537" s="275"/>
      <c r="I537" s="115"/>
      <c r="J537" s="115"/>
      <c r="K537" s="276"/>
      <c r="L537" s="115"/>
      <c r="M537" s="115"/>
      <c r="N537" s="115"/>
      <c r="O537" s="115"/>
      <c r="P537" s="254"/>
      <c r="Q537" s="254"/>
      <c r="R537" s="254"/>
      <c r="T537" s="254"/>
      <c r="U537" s="254"/>
    </row>
    <row r="538" spans="1:21" ht="15">
      <c r="A538" s="253"/>
      <c r="B538" s="253"/>
      <c r="C538" s="253"/>
      <c r="D538" s="253"/>
      <c r="E538" s="115"/>
      <c r="F538" s="275"/>
      <c r="G538" s="275"/>
      <c r="H538" s="275"/>
      <c r="I538" s="115"/>
      <c r="J538" s="115"/>
      <c r="K538" s="276"/>
      <c r="L538" s="115"/>
      <c r="M538" s="115"/>
      <c r="N538" s="115"/>
      <c r="O538" s="115"/>
      <c r="P538" s="254"/>
      <c r="Q538" s="254"/>
      <c r="R538" s="254"/>
      <c r="T538" s="254"/>
      <c r="U538" s="254"/>
    </row>
    <row r="539" spans="1:21" ht="15">
      <c r="A539" s="253"/>
      <c r="B539" s="253"/>
      <c r="C539" s="253"/>
      <c r="D539" s="253"/>
      <c r="E539" s="115"/>
      <c r="F539" s="275"/>
      <c r="G539" s="275"/>
      <c r="H539" s="275"/>
      <c r="I539" s="115"/>
      <c r="J539" s="115"/>
      <c r="K539" s="276"/>
      <c r="L539" s="115"/>
      <c r="M539" s="115"/>
      <c r="N539" s="115"/>
      <c r="O539" s="115"/>
      <c r="P539" s="254"/>
      <c r="Q539" s="254"/>
      <c r="R539" s="254"/>
      <c r="T539" s="254"/>
      <c r="U539" s="254"/>
    </row>
    <row r="540" spans="1:21" ht="15">
      <c r="A540" s="253"/>
      <c r="B540" s="253"/>
      <c r="C540" s="253"/>
      <c r="D540" s="253"/>
      <c r="E540" s="115"/>
      <c r="F540" s="275"/>
      <c r="G540" s="275"/>
      <c r="H540" s="275"/>
      <c r="I540" s="115"/>
      <c r="J540" s="115"/>
      <c r="K540" s="276"/>
      <c r="L540" s="115"/>
      <c r="M540" s="115"/>
      <c r="N540" s="115"/>
      <c r="O540" s="115"/>
      <c r="P540" s="254"/>
      <c r="Q540" s="254"/>
      <c r="R540" s="254"/>
      <c r="T540" s="254"/>
      <c r="U540" s="254"/>
    </row>
    <row r="541" spans="1:21" ht="15">
      <c r="A541" s="253"/>
      <c r="B541" s="253"/>
      <c r="C541" s="253"/>
      <c r="D541" s="253"/>
      <c r="E541" s="115"/>
      <c r="F541" s="275"/>
      <c r="G541" s="275"/>
      <c r="H541" s="275"/>
      <c r="I541" s="115"/>
      <c r="J541" s="115"/>
      <c r="K541" s="276"/>
      <c r="L541" s="115"/>
      <c r="M541" s="115"/>
      <c r="N541" s="115"/>
      <c r="O541" s="115"/>
      <c r="P541" s="254"/>
      <c r="Q541" s="254"/>
      <c r="R541" s="254"/>
      <c r="T541" s="254"/>
      <c r="U541" s="254"/>
    </row>
    <row r="542" spans="1:21" ht="15">
      <c r="A542" s="253"/>
      <c r="B542" s="253"/>
      <c r="C542" s="253"/>
      <c r="D542" s="253"/>
      <c r="E542" s="115"/>
      <c r="F542" s="275"/>
      <c r="G542" s="275"/>
      <c r="H542" s="275"/>
      <c r="I542" s="115"/>
      <c r="J542" s="115"/>
      <c r="K542" s="276"/>
      <c r="L542" s="115"/>
      <c r="M542" s="115"/>
      <c r="N542" s="115"/>
      <c r="O542" s="115"/>
      <c r="P542" s="254"/>
      <c r="Q542" s="254"/>
      <c r="R542" s="254"/>
      <c r="T542" s="254"/>
      <c r="U542" s="254"/>
    </row>
    <row r="543" spans="1:21" ht="15">
      <c r="A543" s="253"/>
      <c r="B543" s="253"/>
      <c r="C543" s="253"/>
      <c r="D543" s="253"/>
      <c r="E543" s="115"/>
      <c r="F543" s="275"/>
      <c r="G543" s="275"/>
      <c r="H543" s="275"/>
      <c r="I543" s="115"/>
      <c r="J543" s="115"/>
      <c r="K543" s="276"/>
      <c r="L543" s="115"/>
      <c r="M543" s="115"/>
      <c r="N543" s="115"/>
      <c r="O543" s="115"/>
      <c r="P543" s="254"/>
      <c r="Q543" s="254"/>
      <c r="R543" s="254"/>
      <c r="T543" s="254"/>
      <c r="U543" s="254"/>
    </row>
    <row r="544" spans="1:21" ht="15">
      <c r="A544" s="253"/>
      <c r="B544" s="253"/>
      <c r="C544" s="253"/>
      <c r="D544" s="253"/>
      <c r="E544" s="115"/>
      <c r="F544" s="275"/>
      <c r="G544" s="275"/>
      <c r="H544" s="275"/>
      <c r="I544" s="115"/>
      <c r="J544" s="115"/>
      <c r="K544" s="276"/>
      <c r="L544" s="115"/>
      <c r="M544" s="115"/>
      <c r="N544" s="115"/>
      <c r="O544" s="115"/>
      <c r="P544" s="254"/>
      <c r="Q544" s="254"/>
      <c r="R544" s="254"/>
      <c r="T544" s="254"/>
      <c r="U544" s="254"/>
    </row>
    <row r="545" spans="1:21" ht="15">
      <c r="A545" s="253"/>
      <c r="B545" s="253"/>
      <c r="C545" s="253"/>
      <c r="D545" s="253"/>
      <c r="E545" s="115"/>
      <c r="F545" s="275"/>
      <c r="G545" s="275"/>
      <c r="H545" s="275"/>
      <c r="I545" s="115"/>
      <c r="J545" s="115"/>
      <c r="K545" s="276"/>
      <c r="L545" s="115"/>
      <c r="M545" s="115"/>
      <c r="N545" s="115"/>
      <c r="O545" s="115"/>
      <c r="P545" s="254"/>
      <c r="Q545" s="254"/>
      <c r="R545" s="254"/>
      <c r="T545" s="254"/>
      <c r="U545" s="254"/>
    </row>
    <row r="546" spans="1:21" ht="15">
      <c r="A546" s="253"/>
      <c r="B546" s="253"/>
      <c r="C546" s="253"/>
      <c r="D546" s="253"/>
      <c r="E546" s="115"/>
      <c r="F546" s="275"/>
      <c r="G546" s="275"/>
      <c r="H546" s="275"/>
      <c r="I546" s="115"/>
      <c r="J546" s="115"/>
      <c r="K546" s="276"/>
      <c r="L546" s="115"/>
      <c r="M546" s="115"/>
      <c r="N546" s="115"/>
      <c r="O546" s="115"/>
      <c r="P546" s="254"/>
      <c r="Q546" s="254"/>
      <c r="R546" s="254"/>
      <c r="T546" s="254"/>
      <c r="U546" s="254"/>
    </row>
    <row r="547" spans="1:21" ht="15">
      <c r="A547" s="253"/>
      <c r="B547" s="253"/>
      <c r="C547" s="253"/>
      <c r="D547" s="253"/>
      <c r="E547" s="115"/>
      <c r="F547" s="275"/>
      <c r="G547" s="275"/>
      <c r="H547" s="275"/>
      <c r="I547" s="115"/>
      <c r="J547" s="115"/>
      <c r="K547" s="276"/>
      <c r="L547" s="115"/>
      <c r="M547" s="115"/>
      <c r="N547" s="115"/>
      <c r="O547" s="115"/>
      <c r="P547" s="254"/>
      <c r="Q547" s="254"/>
      <c r="R547" s="254"/>
      <c r="T547" s="254"/>
      <c r="U547" s="254"/>
    </row>
    <row r="548" spans="1:21" ht="15">
      <c r="A548" s="253"/>
      <c r="B548" s="253"/>
      <c r="C548" s="253"/>
      <c r="D548" s="253"/>
      <c r="E548" s="115"/>
      <c r="F548" s="275"/>
      <c r="G548" s="275"/>
      <c r="H548" s="275"/>
      <c r="I548" s="115"/>
      <c r="J548" s="115"/>
      <c r="K548" s="276"/>
      <c r="L548" s="115"/>
      <c r="M548" s="115"/>
      <c r="N548" s="115"/>
      <c r="O548" s="115"/>
      <c r="P548" s="254"/>
      <c r="Q548" s="254"/>
      <c r="R548" s="254"/>
      <c r="T548" s="254"/>
      <c r="U548" s="254"/>
    </row>
    <row r="549" spans="1:21" ht="15">
      <c r="A549" s="253"/>
      <c r="B549" s="253"/>
      <c r="C549" s="253"/>
      <c r="D549" s="253"/>
      <c r="E549" s="115"/>
      <c r="F549" s="275"/>
      <c r="G549" s="275"/>
      <c r="H549" s="275"/>
      <c r="I549" s="115"/>
      <c r="J549" s="115"/>
      <c r="K549" s="276"/>
      <c r="L549" s="115"/>
      <c r="M549" s="115"/>
      <c r="N549" s="115"/>
      <c r="O549" s="115"/>
      <c r="P549" s="254"/>
      <c r="Q549" s="254"/>
      <c r="R549" s="254"/>
      <c r="T549" s="254"/>
      <c r="U549" s="254"/>
    </row>
    <row r="550" spans="1:21" ht="15">
      <c r="A550" s="253"/>
      <c r="B550" s="253"/>
      <c r="C550" s="253"/>
      <c r="D550" s="253"/>
      <c r="E550" s="115"/>
      <c r="F550" s="275"/>
      <c r="G550" s="275"/>
      <c r="H550" s="275"/>
      <c r="I550" s="115"/>
      <c r="J550" s="115"/>
      <c r="K550" s="276"/>
      <c r="L550" s="115"/>
      <c r="M550" s="115"/>
      <c r="N550" s="115"/>
      <c r="O550" s="115"/>
      <c r="P550" s="254"/>
      <c r="Q550" s="254"/>
      <c r="R550" s="254"/>
      <c r="T550" s="254"/>
      <c r="U550" s="254"/>
    </row>
    <row r="551" spans="1:21" ht="15">
      <c r="A551" s="253"/>
      <c r="B551" s="253"/>
      <c r="C551" s="253"/>
      <c r="D551" s="253"/>
      <c r="E551" s="115"/>
      <c r="F551" s="275"/>
      <c r="G551" s="275"/>
      <c r="H551" s="275"/>
      <c r="I551" s="115"/>
      <c r="J551" s="115"/>
      <c r="K551" s="276"/>
      <c r="L551" s="115"/>
      <c r="M551" s="115"/>
      <c r="N551" s="115"/>
      <c r="O551" s="115"/>
      <c r="P551" s="254"/>
      <c r="Q551" s="254"/>
      <c r="R551" s="254"/>
      <c r="T551" s="254"/>
      <c r="U551" s="254"/>
    </row>
    <row r="552" spans="1:21" ht="15">
      <c r="A552" s="253"/>
      <c r="B552" s="253"/>
      <c r="C552" s="253"/>
      <c r="D552" s="253"/>
      <c r="E552" s="115"/>
      <c r="F552" s="275"/>
      <c r="G552" s="275"/>
      <c r="H552" s="275"/>
      <c r="I552" s="115"/>
      <c r="J552" s="115"/>
      <c r="K552" s="276"/>
      <c r="L552" s="115"/>
      <c r="M552" s="115"/>
      <c r="N552" s="115"/>
      <c r="O552" s="115"/>
      <c r="P552" s="254"/>
      <c r="Q552" s="254"/>
      <c r="R552" s="254"/>
      <c r="T552" s="254"/>
      <c r="U552" s="254"/>
    </row>
    <row r="553" spans="1:21" ht="15">
      <c r="A553" s="253"/>
      <c r="B553" s="253"/>
      <c r="C553" s="253"/>
      <c r="D553" s="253"/>
      <c r="E553" s="115"/>
      <c r="F553" s="275"/>
      <c r="G553" s="275"/>
      <c r="H553" s="275"/>
      <c r="I553" s="115"/>
      <c r="J553" s="115"/>
      <c r="K553" s="276"/>
      <c r="L553" s="115"/>
      <c r="M553" s="115"/>
      <c r="N553" s="115"/>
      <c r="O553" s="115"/>
      <c r="P553" s="254"/>
      <c r="Q553" s="254"/>
      <c r="R553" s="254"/>
      <c r="T553" s="254"/>
      <c r="U553" s="254"/>
    </row>
    <row r="554" spans="1:21" ht="15">
      <c r="A554" s="253"/>
      <c r="B554" s="253"/>
      <c r="C554" s="253"/>
      <c r="D554" s="253"/>
      <c r="E554" s="115"/>
      <c r="F554" s="275"/>
      <c r="G554" s="275"/>
      <c r="H554" s="275"/>
      <c r="I554" s="115"/>
      <c r="J554" s="115"/>
      <c r="K554" s="276"/>
      <c r="L554" s="115"/>
      <c r="M554" s="115"/>
      <c r="N554" s="115"/>
      <c r="O554" s="115"/>
      <c r="P554" s="254"/>
      <c r="Q554" s="254"/>
      <c r="R554" s="254"/>
      <c r="T554" s="254"/>
      <c r="U554" s="254"/>
    </row>
    <row r="555" spans="1:21" ht="15">
      <c r="A555" s="253"/>
      <c r="B555" s="253"/>
      <c r="C555" s="253"/>
      <c r="D555" s="253"/>
      <c r="E555" s="115"/>
      <c r="F555" s="275"/>
      <c r="G555" s="275"/>
      <c r="H555" s="275"/>
      <c r="I555" s="115"/>
      <c r="J555" s="115"/>
      <c r="K555" s="276"/>
      <c r="L555" s="115"/>
      <c r="M555" s="115"/>
      <c r="N555" s="115"/>
      <c r="O555" s="115"/>
      <c r="P555" s="254"/>
      <c r="Q555" s="254"/>
      <c r="R555" s="254"/>
      <c r="T555" s="254"/>
      <c r="U555" s="254"/>
    </row>
    <row r="556" spans="1:21" ht="15">
      <c r="A556" s="253"/>
      <c r="B556" s="253"/>
      <c r="C556" s="253"/>
      <c r="D556" s="253"/>
      <c r="E556" s="115"/>
      <c r="F556" s="275"/>
      <c r="G556" s="275"/>
      <c r="H556" s="275"/>
      <c r="I556" s="115"/>
      <c r="J556" s="115"/>
      <c r="K556" s="276"/>
      <c r="L556" s="115"/>
      <c r="M556" s="115"/>
      <c r="N556" s="115"/>
      <c r="O556" s="115"/>
      <c r="P556" s="254"/>
      <c r="R556" s="254"/>
      <c r="T556" s="254"/>
      <c r="U556" s="254"/>
    </row>
    <row r="557" spans="1:21" ht="15">
      <c r="A557" s="253"/>
      <c r="B557" s="253"/>
      <c r="C557" s="253"/>
      <c r="D557" s="253"/>
      <c r="E557" s="115"/>
      <c r="F557" s="275"/>
      <c r="G557" s="275"/>
      <c r="H557" s="275"/>
      <c r="I557" s="115"/>
      <c r="J557" s="115"/>
      <c r="K557" s="276"/>
      <c r="L557" s="115"/>
      <c r="M557" s="115"/>
      <c r="N557" s="115"/>
      <c r="O557" s="115"/>
      <c r="P557" s="254"/>
      <c r="R557" s="254"/>
      <c r="T557" s="254"/>
      <c r="U557" s="254"/>
    </row>
    <row r="558" spans="1:21" ht="15">
      <c r="A558" s="253"/>
      <c r="B558" s="253"/>
      <c r="C558" s="253"/>
      <c r="D558" s="253"/>
      <c r="E558" s="115"/>
      <c r="F558" s="275"/>
      <c r="G558" s="275"/>
      <c r="H558" s="275"/>
      <c r="I558" s="115"/>
      <c r="J558" s="115"/>
      <c r="K558" s="276"/>
      <c r="L558" s="115"/>
      <c r="M558" s="115"/>
      <c r="N558" s="115"/>
      <c r="O558" s="115"/>
      <c r="P558" s="254"/>
      <c r="R558" s="254"/>
      <c r="T558" s="254"/>
      <c r="U558" s="254"/>
    </row>
    <row r="559" spans="1:21" ht="15">
      <c r="A559" s="253"/>
      <c r="B559" s="253"/>
      <c r="C559" s="253"/>
      <c r="D559" s="253"/>
      <c r="E559" s="115"/>
      <c r="F559" s="275"/>
      <c r="G559" s="275"/>
      <c r="H559" s="275"/>
      <c r="I559" s="115"/>
      <c r="J559" s="115"/>
      <c r="K559" s="276"/>
      <c r="L559" s="115"/>
      <c r="M559" s="115"/>
      <c r="N559" s="115"/>
      <c r="O559" s="115"/>
      <c r="P559" s="254"/>
      <c r="R559" s="254"/>
      <c r="T559" s="254"/>
      <c r="U559" s="254"/>
    </row>
    <row r="560" spans="1:21" ht="15">
      <c r="A560" s="253"/>
      <c r="B560" s="253"/>
      <c r="C560" s="253"/>
      <c r="D560" s="253"/>
      <c r="E560" s="115"/>
      <c r="F560" s="275"/>
      <c r="G560" s="275"/>
      <c r="H560" s="275"/>
      <c r="I560" s="115"/>
      <c r="J560" s="115"/>
      <c r="K560" s="276"/>
      <c r="L560" s="115"/>
      <c r="M560" s="115"/>
      <c r="N560" s="115"/>
      <c r="O560" s="115"/>
      <c r="P560" s="254"/>
      <c r="R560" s="254"/>
      <c r="T560" s="254"/>
      <c r="U560" s="254"/>
    </row>
    <row r="561" spans="1:21" ht="15">
      <c r="A561" s="253"/>
      <c r="B561" s="253"/>
      <c r="C561" s="253"/>
      <c r="D561" s="253"/>
      <c r="E561" s="115"/>
      <c r="F561" s="275"/>
      <c r="G561" s="275"/>
      <c r="H561" s="275"/>
      <c r="I561" s="115"/>
      <c r="J561" s="115"/>
      <c r="K561" s="276"/>
      <c r="L561" s="115"/>
      <c r="M561" s="115"/>
      <c r="N561" s="115"/>
      <c r="O561" s="115"/>
      <c r="P561" s="254"/>
      <c r="R561" s="254"/>
      <c r="T561" s="254"/>
      <c r="U561" s="254"/>
    </row>
    <row r="562" spans="1:21" ht="15">
      <c r="A562" s="253"/>
      <c r="B562" s="253"/>
      <c r="C562" s="253"/>
      <c r="D562" s="253"/>
      <c r="E562" s="115"/>
      <c r="F562" s="275"/>
      <c r="G562" s="275"/>
      <c r="H562" s="275"/>
      <c r="I562" s="115"/>
      <c r="J562" s="115"/>
      <c r="K562" s="276"/>
      <c r="L562" s="115"/>
      <c r="M562" s="115"/>
      <c r="N562" s="115"/>
      <c r="O562" s="115"/>
      <c r="P562" s="254"/>
      <c r="R562" s="254"/>
      <c r="T562" s="254"/>
      <c r="U562" s="254"/>
    </row>
    <row r="563" spans="1:21" ht="15">
      <c r="A563" s="253"/>
      <c r="B563" s="253"/>
      <c r="C563" s="253"/>
      <c r="D563" s="253"/>
      <c r="E563" s="115"/>
      <c r="F563" s="275"/>
      <c r="G563" s="275"/>
      <c r="H563" s="275"/>
      <c r="I563" s="115"/>
      <c r="J563" s="115"/>
      <c r="K563" s="276"/>
      <c r="L563" s="115"/>
      <c r="M563" s="115"/>
      <c r="N563" s="115"/>
      <c r="O563" s="115"/>
      <c r="P563" s="254"/>
      <c r="R563" s="254"/>
      <c r="T563" s="254"/>
      <c r="U563" s="254"/>
    </row>
    <row r="564" spans="1:21" ht="15">
      <c r="A564" s="253"/>
      <c r="B564" s="253"/>
      <c r="C564" s="253"/>
      <c r="D564" s="253"/>
      <c r="E564" s="115"/>
      <c r="F564" s="275"/>
      <c r="G564" s="275"/>
      <c r="H564" s="275"/>
      <c r="I564" s="115"/>
      <c r="J564" s="115"/>
      <c r="K564" s="276"/>
      <c r="L564" s="115"/>
      <c r="M564" s="115"/>
      <c r="N564" s="115"/>
      <c r="O564" s="115"/>
      <c r="P564" s="254"/>
      <c r="R564" s="254"/>
      <c r="T564" s="254"/>
      <c r="U564" s="254"/>
    </row>
    <row r="565" spans="1:21" ht="15">
      <c r="A565" s="253"/>
      <c r="B565" s="253"/>
      <c r="C565" s="253"/>
      <c r="D565" s="253"/>
      <c r="E565" s="115"/>
      <c r="F565" s="275"/>
      <c r="G565" s="275"/>
      <c r="H565" s="275"/>
      <c r="I565" s="115"/>
      <c r="J565" s="115"/>
      <c r="K565" s="276"/>
      <c r="L565" s="115"/>
      <c r="M565" s="115"/>
      <c r="N565" s="115"/>
      <c r="O565" s="115"/>
      <c r="P565" s="254"/>
      <c r="R565" s="254"/>
      <c r="T565" s="254"/>
      <c r="U565" s="254"/>
    </row>
    <row r="566" spans="1:21" ht="15">
      <c r="A566" s="253"/>
      <c r="B566" s="253"/>
      <c r="C566" s="253"/>
      <c r="D566" s="253"/>
      <c r="E566" s="115"/>
      <c r="F566" s="275"/>
      <c r="G566" s="275"/>
      <c r="H566" s="275"/>
      <c r="I566" s="115"/>
      <c r="J566" s="115"/>
      <c r="K566" s="276"/>
      <c r="L566" s="115"/>
      <c r="M566" s="115"/>
      <c r="N566" s="115"/>
      <c r="O566" s="115"/>
      <c r="P566" s="254"/>
      <c r="R566" s="254"/>
      <c r="T566" s="254"/>
      <c r="U566" s="254"/>
    </row>
    <row r="567" spans="1:21" ht="15">
      <c r="A567" s="253"/>
      <c r="B567" s="253"/>
      <c r="C567" s="253"/>
      <c r="D567" s="253"/>
      <c r="E567" s="115"/>
      <c r="F567" s="275"/>
      <c r="G567" s="275"/>
      <c r="H567" s="275"/>
      <c r="I567" s="115"/>
      <c r="J567" s="115"/>
      <c r="K567" s="276"/>
      <c r="L567" s="115"/>
      <c r="M567" s="115"/>
      <c r="N567" s="115"/>
      <c r="O567" s="115"/>
      <c r="P567" s="254"/>
      <c r="R567" s="254"/>
      <c r="T567" s="254"/>
      <c r="U567" s="254"/>
    </row>
    <row r="568" spans="1:21" ht="15">
      <c r="A568" s="253"/>
      <c r="B568" s="253"/>
      <c r="C568" s="253"/>
      <c r="D568" s="253"/>
      <c r="E568" s="115"/>
      <c r="F568" s="275"/>
      <c r="G568" s="275"/>
      <c r="H568" s="275"/>
      <c r="I568" s="115"/>
      <c r="J568" s="115"/>
      <c r="K568" s="276"/>
      <c r="L568" s="115"/>
      <c r="M568" s="115"/>
      <c r="N568" s="115"/>
      <c r="O568" s="115"/>
      <c r="P568" s="254"/>
      <c r="R568" s="254"/>
      <c r="T568" s="254"/>
      <c r="U568" s="254"/>
    </row>
    <row r="569" spans="1:16" ht="15">
      <c r="A569" s="253"/>
      <c r="B569" s="253"/>
      <c r="C569" s="253"/>
      <c r="D569" s="253"/>
      <c r="E569" s="115"/>
      <c r="F569" s="275"/>
      <c r="G569" s="275"/>
      <c r="H569" s="275"/>
      <c r="I569" s="115"/>
      <c r="J569" s="115"/>
      <c r="K569" s="276"/>
      <c r="L569" s="115"/>
      <c r="M569" s="115"/>
      <c r="N569" s="115"/>
      <c r="O569" s="115"/>
      <c r="P569" s="254"/>
    </row>
    <row r="570" spans="1:16" ht="15">
      <c r="A570" s="253"/>
      <c r="B570" s="253"/>
      <c r="C570" s="253"/>
      <c r="D570" s="253"/>
      <c r="E570" s="115"/>
      <c r="F570" s="275"/>
      <c r="G570" s="275"/>
      <c r="H570" s="275"/>
      <c r="I570" s="115"/>
      <c r="J570" s="115"/>
      <c r="K570" s="276"/>
      <c r="L570" s="115"/>
      <c r="M570" s="115"/>
      <c r="N570" s="115"/>
      <c r="O570" s="115"/>
      <c r="P570" s="254"/>
    </row>
    <row r="571" spans="1:16" ht="15">
      <c r="A571" s="253"/>
      <c r="B571" s="253"/>
      <c r="C571" s="253"/>
      <c r="D571" s="253"/>
      <c r="E571" s="115"/>
      <c r="F571" s="275"/>
      <c r="G571" s="275"/>
      <c r="H571" s="275"/>
      <c r="I571" s="115"/>
      <c r="J571" s="115"/>
      <c r="K571" s="276"/>
      <c r="L571" s="115"/>
      <c r="M571" s="115"/>
      <c r="N571" s="115"/>
      <c r="O571" s="115"/>
      <c r="P571" s="254"/>
    </row>
    <row r="572" spans="1:16" ht="15">
      <c r="A572" s="253"/>
      <c r="B572" s="253"/>
      <c r="C572" s="253"/>
      <c r="D572" s="253"/>
      <c r="E572" s="115"/>
      <c r="F572" s="275"/>
      <c r="G572" s="275"/>
      <c r="H572" s="275"/>
      <c r="I572" s="115"/>
      <c r="J572" s="115"/>
      <c r="K572" s="276"/>
      <c r="L572" s="115"/>
      <c r="M572" s="115"/>
      <c r="N572" s="115"/>
      <c r="O572" s="115"/>
      <c r="P572" s="254"/>
    </row>
    <row r="573" ht="15">
      <c r="P573" s="254"/>
    </row>
    <row r="574" ht="15">
      <c r="P574" s="254"/>
    </row>
    <row r="575" ht="15">
      <c r="P575" s="254"/>
    </row>
    <row r="576" ht="15">
      <c r="P576" s="254"/>
    </row>
    <row r="577" ht="15">
      <c r="P577" s="254"/>
    </row>
    <row r="578" ht="15">
      <c r="P578" s="254"/>
    </row>
  </sheetData>
  <sheetProtection/>
  <mergeCells count="21">
    <mergeCell ref="I5:I6"/>
    <mergeCell ref="L5:L6"/>
    <mergeCell ref="H5:H6"/>
    <mergeCell ref="J5:J6"/>
    <mergeCell ref="A1:O1"/>
    <mergeCell ref="A2:O2"/>
    <mergeCell ref="A4:A6"/>
    <mergeCell ref="L3:O3"/>
    <mergeCell ref="E4:O4"/>
    <mergeCell ref="F5:F6"/>
    <mergeCell ref="N5:N6"/>
    <mergeCell ref="G5:G6"/>
    <mergeCell ref="C4:C6"/>
    <mergeCell ref="M5:M6"/>
    <mergeCell ref="B90:O90"/>
    <mergeCell ref="D4:D6"/>
    <mergeCell ref="B4:B6"/>
    <mergeCell ref="E5:E6"/>
    <mergeCell ref="O5:O6"/>
    <mergeCell ref="K5:K6"/>
    <mergeCell ref="C53:C58"/>
  </mergeCells>
  <printOptions/>
  <pageMargins left="0.76" right="0.2" top="0.5" bottom="0.5" header="0" footer="0"/>
  <pageSetup horizontalDpi="600" verticalDpi="600" orientation="landscape" paperSize="9" r:id="rId3"/>
  <headerFooter alignWithMargins="0">
    <oddFooter>&amp;C&amp;"Times New Roman,Regular"&amp;10&amp;P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9"/>
  <sheetViews>
    <sheetView zoomScalePageLayoutView="0" workbookViewId="0" topLeftCell="A1">
      <selection activeCell="A1" sqref="A1:E1"/>
    </sheetView>
  </sheetViews>
  <sheetFormatPr defaultColWidth="8.796875" defaultRowHeight="15"/>
  <cols>
    <col min="1" max="1" width="3.09765625" style="0" customWidth="1"/>
    <col min="2" max="2" width="30.69921875" style="0" customWidth="1"/>
    <col min="3" max="3" width="9.69921875" style="0" customWidth="1"/>
    <col min="4" max="4" width="14.59765625" style="48" customWidth="1"/>
    <col min="5" max="5" width="28.69921875" style="48" customWidth="1"/>
    <col min="6" max="6" width="12" style="0" hidden="1" customWidth="1"/>
    <col min="7" max="7" width="11.09765625" style="0" hidden="1" customWidth="1"/>
    <col min="8" max="8" width="5.19921875" style="0" customWidth="1"/>
    <col min="9" max="9" width="26.5" style="0" customWidth="1"/>
    <col min="10" max="10" width="16.59765625" style="0" customWidth="1"/>
    <col min="11" max="11" width="18.09765625" style="0" customWidth="1"/>
    <col min="12" max="12" width="18.3984375" style="48" customWidth="1"/>
  </cols>
  <sheetData>
    <row r="1" spans="1:12" ht="19.5">
      <c r="A1" s="391" t="s">
        <v>527</v>
      </c>
      <c r="B1" s="391"/>
      <c r="C1" s="391"/>
      <c r="D1" s="391"/>
      <c r="E1" s="391"/>
      <c r="H1" s="42" t="s">
        <v>494</v>
      </c>
      <c r="I1" s="41" t="s">
        <v>495</v>
      </c>
      <c r="J1" s="41" t="s">
        <v>496</v>
      </c>
      <c r="K1" s="41" t="s">
        <v>497</v>
      </c>
      <c r="L1" s="44" t="s">
        <v>498</v>
      </c>
    </row>
    <row r="2" spans="1:12" ht="19.5">
      <c r="A2" s="36"/>
      <c r="B2" s="36"/>
      <c r="C2" s="36"/>
      <c r="D2" s="43"/>
      <c r="E2" s="43"/>
      <c r="H2" s="28" t="s">
        <v>505</v>
      </c>
      <c r="I2" s="12" t="s">
        <v>510</v>
      </c>
      <c r="J2" s="14"/>
      <c r="K2" s="14"/>
      <c r="L2" s="47"/>
    </row>
    <row r="3" spans="1:12" ht="19.5">
      <c r="A3" s="36"/>
      <c r="B3" s="394" t="s">
        <v>533</v>
      </c>
      <c r="C3" s="394"/>
      <c r="D3" s="394"/>
      <c r="E3" s="394"/>
      <c r="F3" s="394"/>
      <c r="H3" s="28">
        <v>1</v>
      </c>
      <c r="I3" s="15" t="s">
        <v>444</v>
      </c>
      <c r="J3" s="14" t="s">
        <v>418</v>
      </c>
      <c r="K3" s="14">
        <v>135</v>
      </c>
      <c r="L3" s="46">
        <v>42860</v>
      </c>
    </row>
    <row r="4" spans="1:12" s="35" customFormat="1" ht="17.25">
      <c r="A4" s="41"/>
      <c r="B4" s="41" t="s">
        <v>495</v>
      </c>
      <c r="C4" s="41" t="s">
        <v>496</v>
      </c>
      <c r="D4" s="44" t="s">
        <v>536</v>
      </c>
      <c r="E4" s="44" t="s">
        <v>227</v>
      </c>
      <c r="F4" s="37"/>
      <c r="H4" s="28">
        <v>2</v>
      </c>
      <c r="I4" s="15" t="s">
        <v>445</v>
      </c>
      <c r="J4" s="14" t="s">
        <v>418</v>
      </c>
      <c r="K4" s="14">
        <v>165</v>
      </c>
      <c r="L4" s="46">
        <v>57140</v>
      </c>
    </row>
    <row r="5" spans="1:12" s="30" customFormat="1" ht="15.75">
      <c r="A5" s="59">
        <v>1</v>
      </c>
      <c r="B5" s="58" t="s">
        <v>529</v>
      </c>
      <c r="C5" s="58" t="s">
        <v>532</v>
      </c>
      <c r="D5" s="60" t="s">
        <v>538</v>
      </c>
      <c r="E5" s="60">
        <v>1200</v>
      </c>
      <c r="H5" s="28">
        <v>3</v>
      </c>
      <c r="I5" s="15" t="s">
        <v>446</v>
      </c>
      <c r="J5" s="14" t="s">
        <v>418</v>
      </c>
      <c r="K5" s="14">
        <v>305</v>
      </c>
      <c r="L5" s="46">
        <v>90480</v>
      </c>
    </row>
    <row r="6" spans="1:12" s="30" customFormat="1" ht="15.75">
      <c r="A6" s="59">
        <v>2</v>
      </c>
      <c r="B6" s="58" t="s">
        <v>530</v>
      </c>
      <c r="C6" s="58" t="s">
        <v>532</v>
      </c>
      <c r="D6" s="60" t="s">
        <v>534</v>
      </c>
      <c r="E6" s="60">
        <v>900</v>
      </c>
      <c r="H6" s="28">
        <v>4</v>
      </c>
      <c r="I6" s="15" t="s">
        <v>447</v>
      </c>
      <c r="J6" s="14" t="s">
        <v>418</v>
      </c>
      <c r="K6" s="14">
        <v>425</v>
      </c>
      <c r="L6" s="46">
        <v>152380</v>
      </c>
    </row>
    <row r="7" spans="1:12" s="30" customFormat="1" ht="16.5">
      <c r="A7" s="59">
        <v>3</v>
      </c>
      <c r="B7" s="58" t="s">
        <v>531</v>
      </c>
      <c r="C7" s="58" t="s">
        <v>532</v>
      </c>
      <c r="D7" s="60" t="s">
        <v>535</v>
      </c>
      <c r="E7" s="60">
        <v>1800</v>
      </c>
      <c r="H7" s="28" t="s">
        <v>506</v>
      </c>
      <c r="I7" s="39" t="s">
        <v>511</v>
      </c>
      <c r="J7" s="40"/>
      <c r="K7" s="14"/>
      <c r="L7" s="47"/>
    </row>
    <row r="8" spans="1:12" ht="19.5">
      <c r="A8" s="36"/>
      <c r="B8" s="36"/>
      <c r="C8" s="36"/>
      <c r="D8" s="43"/>
      <c r="E8" s="43"/>
      <c r="H8" s="28">
        <v>1</v>
      </c>
      <c r="I8" s="15" t="s">
        <v>444</v>
      </c>
      <c r="J8" s="14" t="s">
        <v>418</v>
      </c>
      <c r="K8" s="14">
        <v>135</v>
      </c>
      <c r="L8" s="46">
        <v>71430</v>
      </c>
    </row>
    <row r="9" spans="1:12" ht="29.25" customHeight="1">
      <c r="A9" s="36"/>
      <c r="B9" s="394" t="s">
        <v>537</v>
      </c>
      <c r="C9" s="394"/>
      <c r="D9" s="394"/>
      <c r="E9" s="394"/>
      <c r="F9" s="394"/>
      <c r="G9" s="31"/>
      <c r="H9" s="28">
        <v>2</v>
      </c>
      <c r="I9" s="15" t="s">
        <v>445</v>
      </c>
      <c r="J9" s="14" t="s">
        <v>418</v>
      </c>
      <c r="K9" s="14">
        <v>165</v>
      </c>
      <c r="L9" s="46">
        <v>100000</v>
      </c>
    </row>
    <row r="10" spans="1:12" ht="19.5" thickBot="1">
      <c r="A10" s="41" t="s">
        <v>494</v>
      </c>
      <c r="B10" s="41" t="s">
        <v>495</v>
      </c>
      <c r="C10" s="41" t="s">
        <v>496</v>
      </c>
      <c r="D10" s="395" t="s">
        <v>228</v>
      </c>
      <c r="E10" s="44" t="s">
        <v>226</v>
      </c>
      <c r="F10" s="18"/>
      <c r="G10" s="19"/>
      <c r="H10" s="28">
        <v>3</v>
      </c>
      <c r="I10" s="15" t="s">
        <v>446</v>
      </c>
      <c r="J10" s="14" t="s">
        <v>418</v>
      </c>
      <c r="K10" s="14">
        <v>309</v>
      </c>
      <c r="L10" s="46">
        <v>152380</v>
      </c>
    </row>
    <row r="11" spans="1:12" ht="21" customHeight="1" thickTop="1">
      <c r="A11" s="28" t="s">
        <v>499</v>
      </c>
      <c r="B11" s="12" t="s">
        <v>514</v>
      </c>
      <c r="C11" s="11"/>
      <c r="D11" s="396"/>
      <c r="E11" s="45"/>
      <c r="F11" s="13"/>
      <c r="G11" s="20"/>
      <c r="H11" s="28">
        <v>4</v>
      </c>
      <c r="I11" s="15" t="s">
        <v>447</v>
      </c>
      <c r="J11" s="14" t="s">
        <v>418</v>
      </c>
      <c r="K11" s="14">
        <v>432</v>
      </c>
      <c r="L11" s="46">
        <v>242860</v>
      </c>
    </row>
    <row r="12" spans="1:12" ht="21" customHeight="1">
      <c r="A12" s="28">
        <v>1</v>
      </c>
      <c r="B12" s="51" t="s">
        <v>394</v>
      </c>
      <c r="C12" s="52" t="s">
        <v>392</v>
      </c>
      <c r="D12" s="54">
        <v>610</v>
      </c>
      <c r="E12" s="53">
        <v>1204760</v>
      </c>
      <c r="F12" s="16">
        <f aca="true" t="shared" si="0" ref="F12:F36">G12-E12</f>
        <v>-44760</v>
      </c>
      <c r="G12" s="21">
        <v>1160000</v>
      </c>
      <c r="H12" s="28">
        <v>5</v>
      </c>
      <c r="I12" s="15" t="s">
        <v>448</v>
      </c>
      <c r="J12" s="14" t="s">
        <v>418</v>
      </c>
      <c r="K12" s="14">
        <v>570</v>
      </c>
      <c r="L12" s="46">
        <v>423810</v>
      </c>
    </row>
    <row r="13" spans="1:12" ht="21" customHeight="1">
      <c r="A13" s="28">
        <v>2</v>
      </c>
      <c r="B13" s="51" t="s">
        <v>381</v>
      </c>
      <c r="C13" s="52" t="s">
        <v>392</v>
      </c>
      <c r="D13" s="54">
        <v>630</v>
      </c>
      <c r="E13" s="53">
        <v>1295240</v>
      </c>
      <c r="F13" s="16">
        <f t="shared" si="0"/>
        <v>-35240</v>
      </c>
      <c r="G13" s="21">
        <v>1260000</v>
      </c>
      <c r="H13" s="28">
        <v>6</v>
      </c>
      <c r="I13" s="15" t="s">
        <v>449</v>
      </c>
      <c r="J13" s="14" t="s">
        <v>418</v>
      </c>
      <c r="K13" s="14">
        <v>1003</v>
      </c>
      <c r="L13" s="46">
        <v>595240</v>
      </c>
    </row>
    <row r="14" spans="1:12" ht="21" customHeight="1">
      <c r="A14" s="28">
        <v>3</v>
      </c>
      <c r="B14" s="51" t="s">
        <v>382</v>
      </c>
      <c r="C14" s="52" t="s">
        <v>392</v>
      </c>
      <c r="D14" s="54">
        <v>630</v>
      </c>
      <c r="E14" s="53">
        <v>1285710</v>
      </c>
      <c r="F14" s="16">
        <f t="shared" si="0"/>
        <v>-30710</v>
      </c>
      <c r="G14" s="21">
        <v>1255000</v>
      </c>
      <c r="H14" s="28">
        <v>7</v>
      </c>
      <c r="I14" s="15" t="s">
        <v>450</v>
      </c>
      <c r="J14" s="14" t="s">
        <v>418</v>
      </c>
      <c r="K14" s="16">
        <v>1220</v>
      </c>
      <c r="L14" s="46">
        <v>1085710</v>
      </c>
    </row>
    <row r="15" spans="1:12" ht="21" customHeight="1">
      <c r="A15" s="28">
        <v>4</v>
      </c>
      <c r="B15" s="51" t="s">
        <v>383</v>
      </c>
      <c r="C15" s="52" t="s">
        <v>392</v>
      </c>
      <c r="D15" s="54">
        <v>650</v>
      </c>
      <c r="E15" s="53">
        <v>1419050</v>
      </c>
      <c r="F15" s="16">
        <f t="shared" si="0"/>
        <v>-49050</v>
      </c>
      <c r="G15" s="21">
        <v>1370000</v>
      </c>
      <c r="H15" s="28">
        <v>8</v>
      </c>
      <c r="I15" s="15" t="s">
        <v>451</v>
      </c>
      <c r="J15" s="14" t="s">
        <v>418</v>
      </c>
      <c r="K15" s="16">
        <v>1340</v>
      </c>
      <c r="L15" s="46">
        <v>1133330</v>
      </c>
    </row>
    <row r="16" spans="1:12" ht="21" customHeight="1">
      <c r="A16" s="28">
        <v>5</v>
      </c>
      <c r="B16" s="51" t="s">
        <v>384</v>
      </c>
      <c r="C16" s="52" t="s">
        <v>392</v>
      </c>
      <c r="D16" s="54">
        <v>690</v>
      </c>
      <c r="E16" s="53">
        <v>1776190</v>
      </c>
      <c r="F16" s="16">
        <f t="shared" si="0"/>
        <v>-51190</v>
      </c>
      <c r="G16" s="21">
        <v>1725000</v>
      </c>
      <c r="H16" s="28">
        <v>9</v>
      </c>
      <c r="I16" s="15" t="s">
        <v>452</v>
      </c>
      <c r="J16" s="14" t="s">
        <v>418</v>
      </c>
      <c r="K16" s="16">
        <v>1348</v>
      </c>
      <c r="L16" s="46">
        <v>1200000</v>
      </c>
    </row>
    <row r="17" spans="1:12" ht="21" customHeight="1">
      <c r="A17" s="28">
        <v>6</v>
      </c>
      <c r="B17" s="51" t="s">
        <v>385</v>
      </c>
      <c r="C17" s="52" t="s">
        <v>392</v>
      </c>
      <c r="D17" s="54">
        <v>974</v>
      </c>
      <c r="E17" s="53">
        <v>1804760</v>
      </c>
      <c r="F17" s="16">
        <f t="shared" si="0"/>
        <v>-19760</v>
      </c>
      <c r="G17" s="21">
        <v>1785000</v>
      </c>
      <c r="H17" s="28">
        <v>10</v>
      </c>
      <c r="I17" s="15" t="s">
        <v>453</v>
      </c>
      <c r="J17" s="14" t="s">
        <v>418</v>
      </c>
      <c r="K17" s="16">
        <v>1357</v>
      </c>
      <c r="L17" s="46">
        <v>1252380</v>
      </c>
    </row>
    <row r="18" spans="1:12" ht="21" customHeight="1">
      <c r="A18" s="28">
        <v>7</v>
      </c>
      <c r="B18" s="51" t="s">
        <v>386</v>
      </c>
      <c r="C18" s="52" t="s">
        <v>392</v>
      </c>
      <c r="D18" s="54">
        <v>985</v>
      </c>
      <c r="E18" s="53">
        <v>2042860</v>
      </c>
      <c r="F18" s="16">
        <f t="shared" si="0"/>
        <v>-20860</v>
      </c>
      <c r="G18" s="21">
        <v>2022000</v>
      </c>
      <c r="H18" s="28">
        <v>11</v>
      </c>
      <c r="I18" s="15" t="s">
        <v>454</v>
      </c>
      <c r="J18" s="14" t="s">
        <v>418</v>
      </c>
      <c r="K18" s="16">
        <v>1370</v>
      </c>
      <c r="L18" s="46">
        <v>1309520</v>
      </c>
    </row>
    <row r="19" spans="1:12" ht="21" customHeight="1">
      <c r="A19" s="28">
        <v>8</v>
      </c>
      <c r="B19" s="51" t="s">
        <v>387</v>
      </c>
      <c r="C19" s="52" t="s">
        <v>392</v>
      </c>
      <c r="D19" s="54">
        <v>1100</v>
      </c>
      <c r="E19" s="53">
        <v>2276190</v>
      </c>
      <c r="F19" s="16">
        <f t="shared" si="0"/>
        <v>73810</v>
      </c>
      <c r="G19" s="21">
        <v>2350000</v>
      </c>
      <c r="H19" s="28">
        <v>12</v>
      </c>
      <c r="I19" s="15" t="s">
        <v>455</v>
      </c>
      <c r="J19" s="14" t="s">
        <v>418</v>
      </c>
      <c r="K19" s="16">
        <v>1670</v>
      </c>
      <c r="L19" s="46">
        <v>1385710</v>
      </c>
    </row>
    <row r="20" spans="1:12" ht="21" customHeight="1">
      <c r="A20" s="28">
        <v>9</v>
      </c>
      <c r="B20" s="51" t="s">
        <v>388</v>
      </c>
      <c r="C20" s="52" t="s">
        <v>392</v>
      </c>
      <c r="D20" s="54">
        <v>1245</v>
      </c>
      <c r="E20" s="53">
        <v>2709520</v>
      </c>
      <c r="F20" s="16">
        <f t="shared" si="0"/>
        <v>10480</v>
      </c>
      <c r="G20" s="21">
        <v>2720000</v>
      </c>
      <c r="H20" s="28">
        <v>13</v>
      </c>
      <c r="I20" s="15" t="s">
        <v>456</v>
      </c>
      <c r="J20" s="14" t="s">
        <v>418</v>
      </c>
      <c r="K20" s="16">
        <v>1681</v>
      </c>
      <c r="L20" s="46">
        <v>1447620</v>
      </c>
    </row>
    <row r="21" spans="1:12" ht="21" customHeight="1">
      <c r="A21" s="28">
        <v>10</v>
      </c>
      <c r="B21" s="51" t="s">
        <v>389</v>
      </c>
      <c r="C21" s="52" t="s">
        <v>392</v>
      </c>
      <c r="D21" s="54">
        <v>1290</v>
      </c>
      <c r="E21" s="53">
        <v>2771430</v>
      </c>
      <c r="F21" s="16">
        <f t="shared" si="0"/>
        <v>-21430</v>
      </c>
      <c r="G21" s="21">
        <v>2750000</v>
      </c>
      <c r="H21" s="28">
        <v>14</v>
      </c>
      <c r="I21" s="15" t="s">
        <v>457</v>
      </c>
      <c r="J21" s="14" t="s">
        <v>418</v>
      </c>
      <c r="K21" s="16">
        <v>1690</v>
      </c>
      <c r="L21" s="46">
        <v>1538090</v>
      </c>
    </row>
    <row r="22" spans="1:12" ht="19.5" customHeight="1">
      <c r="A22" s="28">
        <v>11</v>
      </c>
      <c r="B22" s="51" t="s">
        <v>390</v>
      </c>
      <c r="C22" s="52" t="s">
        <v>392</v>
      </c>
      <c r="D22" s="54">
        <v>1340</v>
      </c>
      <c r="E22" s="53">
        <v>3242860</v>
      </c>
      <c r="F22" s="16">
        <f t="shared" si="0"/>
        <v>-42860</v>
      </c>
      <c r="G22" s="21">
        <v>3200000</v>
      </c>
      <c r="H22" s="28">
        <v>15</v>
      </c>
      <c r="I22" s="15" t="s">
        <v>458</v>
      </c>
      <c r="J22" s="14" t="s">
        <v>418</v>
      </c>
      <c r="K22" s="16">
        <v>1700</v>
      </c>
      <c r="L22" s="46">
        <v>1919050</v>
      </c>
    </row>
    <row r="23" spans="1:12" ht="20.25" customHeight="1">
      <c r="A23" s="28">
        <v>12</v>
      </c>
      <c r="B23" s="51" t="s">
        <v>391</v>
      </c>
      <c r="C23" s="52" t="s">
        <v>392</v>
      </c>
      <c r="D23" s="54">
        <v>1376</v>
      </c>
      <c r="E23" s="53">
        <v>4028570</v>
      </c>
      <c r="F23" s="16">
        <f t="shared" si="0"/>
        <v>21430</v>
      </c>
      <c r="G23" s="21">
        <v>4050000</v>
      </c>
      <c r="H23" s="28">
        <v>16</v>
      </c>
      <c r="I23" s="15" t="s">
        <v>459</v>
      </c>
      <c r="J23" s="14" t="s">
        <v>418</v>
      </c>
      <c r="K23" s="16">
        <v>1950</v>
      </c>
      <c r="L23" s="46">
        <v>1695240</v>
      </c>
    </row>
    <row r="24" spans="1:12" ht="5.25" customHeight="1" hidden="1">
      <c r="A24" s="28"/>
      <c r="B24" s="51"/>
      <c r="C24" s="52"/>
      <c r="D24" s="54"/>
      <c r="E24" s="53"/>
      <c r="F24" s="16">
        <f t="shared" si="0"/>
        <v>4070000</v>
      </c>
      <c r="G24" s="21">
        <v>4070000</v>
      </c>
      <c r="H24" s="28">
        <v>17</v>
      </c>
      <c r="I24" s="15" t="s">
        <v>460</v>
      </c>
      <c r="J24" s="14" t="s">
        <v>418</v>
      </c>
      <c r="K24" s="16">
        <v>4250</v>
      </c>
      <c r="L24" s="46">
        <v>5530476</v>
      </c>
    </row>
    <row r="25" spans="1:12" ht="19.5" customHeight="1">
      <c r="A25" s="28">
        <v>14</v>
      </c>
      <c r="B25" s="51" t="s">
        <v>395</v>
      </c>
      <c r="C25" s="52" t="s">
        <v>392</v>
      </c>
      <c r="D25" s="54">
        <v>1734</v>
      </c>
      <c r="E25" s="53">
        <v>7571430</v>
      </c>
      <c r="F25" s="16">
        <f t="shared" si="0"/>
        <v>-691430</v>
      </c>
      <c r="G25" s="21">
        <v>6880000</v>
      </c>
      <c r="H25" s="28" t="s">
        <v>507</v>
      </c>
      <c r="I25" s="12" t="s">
        <v>461</v>
      </c>
      <c r="J25" s="14"/>
      <c r="K25" s="14"/>
      <c r="L25" s="47"/>
    </row>
    <row r="26" spans="1:12" ht="17.25" customHeight="1">
      <c r="A26" s="28">
        <v>15</v>
      </c>
      <c r="B26" s="51" t="s">
        <v>396</v>
      </c>
      <c r="C26" s="52" t="s">
        <v>392</v>
      </c>
      <c r="D26" s="54">
        <v>1760</v>
      </c>
      <c r="E26" s="53">
        <v>8571430</v>
      </c>
      <c r="F26" s="16">
        <f t="shared" si="0"/>
        <v>-186430</v>
      </c>
      <c r="G26" s="21">
        <v>8385000</v>
      </c>
      <c r="H26" s="28">
        <v>1</v>
      </c>
      <c r="I26" s="15" t="s">
        <v>462</v>
      </c>
      <c r="J26" s="14" t="s">
        <v>463</v>
      </c>
      <c r="K26" s="14">
        <v>435</v>
      </c>
      <c r="L26" s="46">
        <v>419050</v>
      </c>
    </row>
    <row r="27" spans="1:12" ht="18" customHeight="1">
      <c r="A27" s="28">
        <v>16</v>
      </c>
      <c r="B27" s="51" t="s">
        <v>397</v>
      </c>
      <c r="C27" s="52" t="s">
        <v>392</v>
      </c>
      <c r="D27" s="54">
        <v>1795</v>
      </c>
      <c r="E27" s="53">
        <v>9809520</v>
      </c>
      <c r="F27" s="16">
        <f t="shared" si="0"/>
        <v>-259520</v>
      </c>
      <c r="G27" s="21">
        <v>9550000</v>
      </c>
      <c r="H27" s="28">
        <v>2</v>
      </c>
      <c r="I27" s="15" t="s">
        <v>464</v>
      </c>
      <c r="J27" s="14" t="s">
        <v>463</v>
      </c>
      <c r="K27" s="14">
        <v>430</v>
      </c>
      <c r="L27" s="46">
        <v>404760</v>
      </c>
    </row>
    <row r="28" spans="1:12" ht="18" customHeight="1">
      <c r="A28" s="28">
        <v>17</v>
      </c>
      <c r="B28" s="51" t="s">
        <v>398</v>
      </c>
      <c r="C28" s="52" t="s">
        <v>392</v>
      </c>
      <c r="D28" s="54">
        <v>2064</v>
      </c>
      <c r="E28" s="53">
        <v>8642860</v>
      </c>
      <c r="F28" s="16">
        <f t="shared" si="0"/>
        <v>-1352860</v>
      </c>
      <c r="G28" s="22">
        <v>7290000</v>
      </c>
      <c r="H28" s="28">
        <v>3</v>
      </c>
      <c r="I28" s="15" t="s">
        <v>465</v>
      </c>
      <c r="J28" s="14" t="s">
        <v>463</v>
      </c>
      <c r="K28" s="14">
        <v>460</v>
      </c>
      <c r="L28" s="46">
        <v>457140</v>
      </c>
    </row>
    <row r="29" spans="1:12" ht="19.5" customHeight="1">
      <c r="A29" s="28">
        <v>18</v>
      </c>
      <c r="B29" s="51" t="s">
        <v>399</v>
      </c>
      <c r="C29" s="52" t="s">
        <v>392</v>
      </c>
      <c r="D29" s="54">
        <v>2148</v>
      </c>
      <c r="E29" s="53">
        <v>9452380</v>
      </c>
      <c r="F29" s="16">
        <f t="shared" si="0"/>
        <v>-1052380</v>
      </c>
      <c r="G29" s="22">
        <v>8400000</v>
      </c>
      <c r="H29" s="28">
        <v>4</v>
      </c>
      <c r="I29" s="15" t="s">
        <v>466</v>
      </c>
      <c r="J29" s="14" t="s">
        <v>463</v>
      </c>
      <c r="K29" s="14">
        <v>460</v>
      </c>
      <c r="L29" s="46">
        <v>438090</v>
      </c>
    </row>
    <row r="30" spans="1:12" ht="18.75" customHeight="1">
      <c r="A30" s="28">
        <v>19</v>
      </c>
      <c r="B30" s="51" t="s">
        <v>400</v>
      </c>
      <c r="C30" s="52" t="s">
        <v>392</v>
      </c>
      <c r="D30" s="54">
        <v>2177</v>
      </c>
      <c r="E30" s="53">
        <v>10404760</v>
      </c>
      <c r="F30" s="16">
        <f t="shared" si="0"/>
        <v>-1064760</v>
      </c>
      <c r="G30" s="22">
        <v>9340000</v>
      </c>
      <c r="H30" s="28">
        <v>5</v>
      </c>
      <c r="I30" s="15" t="s">
        <v>467</v>
      </c>
      <c r="J30" s="14" t="s">
        <v>463</v>
      </c>
      <c r="K30" s="14">
        <v>460</v>
      </c>
      <c r="L30" s="46">
        <v>500000</v>
      </c>
    </row>
    <row r="31" spans="1:12" ht="18.75" customHeight="1">
      <c r="A31" s="28">
        <v>20</v>
      </c>
      <c r="B31" s="51" t="s">
        <v>401</v>
      </c>
      <c r="C31" s="52" t="s">
        <v>392</v>
      </c>
      <c r="D31" s="54">
        <v>2390</v>
      </c>
      <c r="E31" s="53">
        <v>9423810</v>
      </c>
      <c r="F31" s="16">
        <f t="shared" si="0"/>
        <v>-1793810</v>
      </c>
      <c r="G31" s="22">
        <v>7630000</v>
      </c>
      <c r="H31" s="28">
        <v>6</v>
      </c>
      <c r="I31" s="15" t="s">
        <v>468</v>
      </c>
      <c r="J31" s="14" t="s">
        <v>463</v>
      </c>
      <c r="K31" s="14">
        <v>460</v>
      </c>
      <c r="L31" s="46">
        <v>452380</v>
      </c>
    </row>
    <row r="32" spans="1:12" ht="18" customHeight="1">
      <c r="A32" s="28">
        <v>21</v>
      </c>
      <c r="B32" s="51" t="s">
        <v>402</v>
      </c>
      <c r="C32" s="52" t="s">
        <v>392</v>
      </c>
      <c r="D32" s="54">
        <v>2488</v>
      </c>
      <c r="E32" s="53">
        <v>10761900</v>
      </c>
      <c r="F32" s="16">
        <f t="shared" si="0"/>
        <v>-1001900</v>
      </c>
      <c r="G32" s="22">
        <v>9760000</v>
      </c>
      <c r="H32" s="28">
        <v>7</v>
      </c>
      <c r="I32" s="15" t="s">
        <v>469</v>
      </c>
      <c r="J32" s="14" t="s">
        <v>463</v>
      </c>
      <c r="K32" s="14">
        <v>505</v>
      </c>
      <c r="L32" s="46">
        <v>533330</v>
      </c>
    </row>
    <row r="33" spans="1:12" ht="18" customHeight="1">
      <c r="A33" s="28">
        <v>22</v>
      </c>
      <c r="B33" s="51" t="s">
        <v>403</v>
      </c>
      <c r="C33" s="52" t="s">
        <v>392</v>
      </c>
      <c r="D33" s="54">
        <v>2525</v>
      </c>
      <c r="E33" s="53">
        <v>11976190</v>
      </c>
      <c r="F33" s="16">
        <f t="shared" si="0"/>
        <v>-1116190</v>
      </c>
      <c r="G33" s="22">
        <v>10860000</v>
      </c>
      <c r="H33" s="28">
        <v>8</v>
      </c>
      <c r="I33" s="15" t="s">
        <v>470</v>
      </c>
      <c r="J33" s="14" t="s">
        <v>463</v>
      </c>
      <c r="K33" s="14">
        <v>496</v>
      </c>
      <c r="L33" s="46">
        <v>514290</v>
      </c>
    </row>
    <row r="34" spans="1:12" ht="18.75" customHeight="1">
      <c r="A34" s="28">
        <v>23</v>
      </c>
      <c r="B34" s="51" t="s">
        <v>404</v>
      </c>
      <c r="C34" s="52" t="s">
        <v>392</v>
      </c>
      <c r="D34" s="54">
        <v>2993</v>
      </c>
      <c r="E34" s="53">
        <v>11790480</v>
      </c>
      <c r="F34" s="16">
        <f t="shared" si="0"/>
        <v>-1640480</v>
      </c>
      <c r="G34" s="22">
        <v>10150000</v>
      </c>
      <c r="H34" s="28">
        <v>9</v>
      </c>
      <c r="I34" s="15" t="s">
        <v>471</v>
      </c>
      <c r="J34" s="14" t="s">
        <v>463</v>
      </c>
      <c r="K34" s="14">
        <v>515</v>
      </c>
      <c r="L34" s="46">
        <v>595240</v>
      </c>
    </row>
    <row r="35" spans="1:12" ht="18" customHeight="1">
      <c r="A35" s="28">
        <v>24</v>
      </c>
      <c r="B35" s="51" t="s">
        <v>405</v>
      </c>
      <c r="C35" s="52" t="s">
        <v>392</v>
      </c>
      <c r="D35" s="54">
        <v>2827</v>
      </c>
      <c r="E35" s="53">
        <v>12204760</v>
      </c>
      <c r="F35" s="16">
        <f t="shared" si="0"/>
        <v>-1878760</v>
      </c>
      <c r="G35" s="22">
        <v>10326000</v>
      </c>
      <c r="H35" s="28">
        <v>10</v>
      </c>
      <c r="I35" s="15" t="s">
        <v>472</v>
      </c>
      <c r="J35" s="14" t="s">
        <v>463</v>
      </c>
      <c r="K35" s="14">
        <v>510</v>
      </c>
      <c r="L35" s="46">
        <v>538090</v>
      </c>
    </row>
    <row r="36" spans="1:12" ht="19.5" customHeight="1">
      <c r="A36" s="28">
        <v>25</v>
      </c>
      <c r="B36" s="51" t="s">
        <v>406</v>
      </c>
      <c r="C36" s="52" t="s">
        <v>392</v>
      </c>
      <c r="D36" s="54">
        <v>2950</v>
      </c>
      <c r="E36" s="53">
        <v>12985710</v>
      </c>
      <c r="F36" s="16">
        <f t="shared" si="0"/>
        <v>-1915710</v>
      </c>
      <c r="G36" s="22">
        <v>11070000</v>
      </c>
      <c r="H36" s="28">
        <v>11</v>
      </c>
      <c r="I36" s="15" t="s">
        <v>473</v>
      </c>
      <c r="J36" s="14" t="s">
        <v>463</v>
      </c>
      <c r="K36" s="14">
        <v>545</v>
      </c>
      <c r="L36" s="46">
        <v>570480</v>
      </c>
    </row>
    <row r="37" spans="1:12" ht="18.75" customHeight="1">
      <c r="A37" s="27" t="s">
        <v>500</v>
      </c>
      <c r="B37" s="38" t="s">
        <v>407</v>
      </c>
      <c r="C37" s="52"/>
      <c r="D37" s="54"/>
      <c r="E37" s="54"/>
      <c r="F37" s="14"/>
      <c r="G37" s="23"/>
      <c r="H37" s="28">
        <v>12</v>
      </c>
      <c r="I37" s="15" t="s">
        <v>474</v>
      </c>
      <c r="J37" s="14" t="s">
        <v>463</v>
      </c>
      <c r="K37" s="14">
        <v>525</v>
      </c>
      <c r="L37" s="46">
        <v>547620</v>
      </c>
    </row>
    <row r="38" spans="1:12" ht="19.5" customHeight="1">
      <c r="A38" s="27">
        <v>1</v>
      </c>
      <c r="B38" s="51" t="s">
        <v>408</v>
      </c>
      <c r="C38" s="52" t="s">
        <v>392</v>
      </c>
      <c r="D38" s="54">
        <v>296</v>
      </c>
      <c r="E38" s="53">
        <v>485710</v>
      </c>
      <c r="F38" s="16">
        <f>G38-E38</f>
        <v>-710</v>
      </c>
      <c r="G38" s="22">
        <v>485000</v>
      </c>
      <c r="H38" s="28">
        <v>13</v>
      </c>
      <c r="I38" s="15" t="s">
        <v>475</v>
      </c>
      <c r="J38" s="14" t="s">
        <v>463</v>
      </c>
      <c r="K38" s="14">
        <v>555</v>
      </c>
      <c r="L38" s="46">
        <v>561900</v>
      </c>
    </row>
    <row r="39" spans="1:12" ht="20.25" customHeight="1">
      <c r="A39" s="27">
        <v>2</v>
      </c>
      <c r="B39" s="51" t="s">
        <v>409</v>
      </c>
      <c r="C39" s="52" t="s">
        <v>392</v>
      </c>
      <c r="D39" s="54">
        <v>383</v>
      </c>
      <c r="E39" s="53">
        <v>571430</v>
      </c>
      <c r="F39" s="16">
        <f>G39-E39</f>
        <v>3570</v>
      </c>
      <c r="G39" s="22">
        <v>575000</v>
      </c>
      <c r="H39" s="28">
        <v>14</v>
      </c>
      <c r="I39" s="15" t="s">
        <v>476</v>
      </c>
      <c r="J39" s="14" t="s">
        <v>463</v>
      </c>
      <c r="K39" s="14">
        <v>535</v>
      </c>
      <c r="L39" s="46">
        <v>576190</v>
      </c>
    </row>
    <row r="40" spans="1:12" ht="19.5" customHeight="1">
      <c r="A40" s="27">
        <v>3</v>
      </c>
      <c r="B40" s="51" t="s">
        <v>410</v>
      </c>
      <c r="C40" s="52" t="s">
        <v>392</v>
      </c>
      <c r="D40" s="54">
        <v>463</v>
      </c>
      <c r="E40" s="53">
        <v>780950</v>
      </c>
      <c r="F40" s="16">
        <f>G40-E40</f>
        <v>9050</v>
      </c>
      <c r="G40" s="22">
        <v>790000</v>
      </c>
      <c r="H40" s="28">
        <v>15</v>
      </c>
      <c r="I40" s="15" t="s">
        <v>477</v>
      </c>
      <c r="J40" s="14" t="s">
        <v>463</v>
      </c>
      <c r="K40" s="14">
        <v>575</v>
      </c>
      <c r="L40" s="46">
        <v>676190</v>
      </c>
    </row>
    <row r="41" spans="1:12" ht="17.25" customHeight="1">
      <c r="A41" s="27">
        <v>4</v>
      </c>
      <c r="B41" s="51" t="s">
        <v>411</v>
      </c>
      <c r="C41" s="52" t="s">
        <v>392</v>
      </c>
      <c r="D41" s="54">
        <v>820</v>
      </c>
      <c r="E41" s="53">
        <v>1433330</v>
      </c>
      <c r="F41" s="16">
        <f>G41-E41</f>
        <v>-61330</v>
      </c>
      <c r="G41" s="22">
        <v>1372000</v>
      </c>
      <c r="H41" s="28">
        <v>16</v>
      </c>
      <c r="I41" s="15" t="s">
        <v>478</v>
      </c>
      <c r="J41" s="14" t="s">
        <v>463</v>
      </c>
      <c r="K41" s="14">
        <v>560</v>
      </c>
      <c r="L41" s="46">
        <v>695240</v>
      </c>
    </row>
    <row r="42" spans="1:12" ht="18.75" customHeight="1">
      <c r="A42" s="27" t="s">
        <v>501</v>
      </c>
      <c r="B42" s="38" t="s">
        <v>412</v>
      </c>
      <c r="C42" s="52"/>
      <c r="D42" s="54"/>
      <c r="E42" s="54"/>
      <c r="F42" s="14"/>
      <c r="G42" s="23"/>
      <c r="H42" s="28" t="s">
        <v>508</v>
      </c>
      <c r="I42" s="12" t="s">
        <v>493</v>
      </c>
      <c r="J42" s="14"/>
      <c r="K42" s="14"/>
      <c r="L42" s="46"/>
    </row>
    <row r="43" spans="1:12" ht="17.25" customHeight="1">
      <c r="A43" s="27">
        <v>1</v>
      </c>
      <c r="B43" s="51" t="s">
        <v>413</v>
      </c>
      <c r="C43" s="52" t="s">
        <v>392</v>
      </c>
      <c r="D43" s="54">
        <v>180</v>
      </c>
      <c r="E43" s="53">
        <v>357140</v>
      </c>
      <c r="F43" s="16">
        <f aca="true" t="shared" si="1" ref="F43:F55">G43-E43</f>
        <v>-12140</v>
      </c>
      <c r="G43" s="22">
        <v>345000</v>
      </c>
      <c r="H43" s="28">
        <v>1</v>
      </c>
      <c r="I43" s="15" t="s">
        <v>479</v>
      </c>
      <c r="J43" s="14" t="s">
        <v>480</v>
      </c>
      <c r="K43" s="14">
        <v>9</v>
      </c>
      <c r="L43" s="46">
        <v>23810</v>
      </c>
    </row>
    <row r="44" spans="1:12" ht="18" customHeight="1">
      <c r="A44" s="27">
        <v>2</v>
      </c>
      <c r="B44" s="51" t="s">
        <v>414</v>
      </c>
      <c r="C44" s="52" t="s">
        <v>392</v>
      </c>
      <c r="D44" s="54">
        <v>220</v>
      </c>
      <c r="E44" s="53">
        <v>423810</v>
      </c>
      <c r="F44" s="16">
        <f t="shared" si="1"/>
        <v>-23810</v>
      </c>
      <c r="G44" s="22">
        <v>400000</v>
      </c>
      <c r="H44" s="28">
        <v>2</v>
      </c>
      <c r="I44" s="17" t="s">
        <v>481</v>
      </c>
      <c r="J44" s="14" t="s">
        <v>480</v>
      </c>
      <c r="K44" s="14">
        <v>8</v>
      </c>
      <c r="L44" s="46">
        <v>2730</v>
      </c>
    </row>
    <row r="45" spans="1:12" ht="18" customHeight="1">
      <c r="A45" s="27">
        <v>3</v>
      </c>
      <c r="B45" s="51" t="s">
        <v>415</v>
      </c>
      <c r="C45" s="52" t="s">
        <v>392</v>
      </c>
      <c r="D45" s="54">
        <v>290</v>
      </c>
      <c r="E45" s="53">
        <v>471430</v>
      </c>
      <c r="F45" s="16">
        <f t="shared" si="1"/>
        <v>-26430</v>
      </c>
      <c r="G45" s="22">
        <v>445000</v>
      </c>
      <c r="H45" s="28"/>
      <c r="I45" s="17"/>
      <c r="J45" s="14"/>
      <c r="K45" s="14"/>
      <c r="L45" s="46"/>
    </row>
    <row r="46" spans="1:12" ht="15" customHeight="1">
      <c r="A46" s="27" t="s">
        <v>502</v>
      </c>
      <c r="B46" s="38" t="s">
        <v>416</v>
      </c>
      <c r="C46" s="52" t="s">
        <v>392</v>
      </c>
      <c r="D46" s="54"/>
      <c r="E46" s="53"/>
      <c r="F46" s="16">
        <f t="shared" si="1"/>
        <v>0</v>
      </c>
      <c r="G46" s="22"/>
      <c r="H46" s="28" t="s">
        <v>509</v>
      </c>
      <c r="I46" s="12" t="s">
        <v>482</v>
      </c>
      <c r="J46" s="14"/>
      <c r="K46" s="14"/>
      <c r="L46" s="47"/>
    </row>
    <row r="47" spans="1:12" ht="18.75" customHeight="1">
      <c r="A47" s="27">
        <v>1</v>
      </c>
      <c r="B47" s="51" t="s">
        <v>539</v>
      </c>
      <c r="C47" s="52" t="s">
        <v>392</v>
      </c>
      <c r="D47" s="53">
        <v>486</v>
      </c>
      <c r="E47" s="53">
        <v>823810</v>
      </c>
      <c r="F47" s="16">
        <f t="shared" si="1"/>
        <v>-6810</v>
      </c>
      <c r="G47" s="22">
        <v>817000</v>
      </c>
      <c r="H47" s="28">
        <v>1</v>
      </c>
      <c r="I47" s="15" t="s">
        <v>483</v>
      </c>
      <c r="J47" s="14" t="s">
        <v>484</v>
      </c>
      <c r="K47" s="14">
        <v>2500</v>
      </c>
      <c r="L47" s="46">
        <v>533330</v>
      </c>
    </row>
    <row r="48" spans="1:12" ht="21" customHeight="1">
      <c r="A48" s="27">
        <v>2</v>
      </c>
      <c r="B48" s="51" t="s">
        <v>540</v>
      </c>
      <c r="C48" s="52" t="s">
        <v>392</v>
      </c>
      <c r="D48" s="53">
        <v>497</v>
      </c>
      <c r="E48" s="53">
        <v>1023810</v>
      </c>
      <c r="F48" s="16">
        <f t="shared" si="1"/>
        <v>-46810</v>
      </c>
      <c r="G48" s="22">
        <v>977000</v>
      </c>
      <c r="H48" s="28">
        <v>2</v>
      </c>
      <c r="I48" s="15" t="s">
        <v>485</v>
      </c>
      <c r="J48" s="14" t="s">
        <v>484</v>
      </c>
      <c r="K48" s="14">
        <v>2500</v>
      </c>
      <c r="L48" s="46">
        <v>580950</v>
      </c>
    </row>
    <row r="49" spans="1:12" ht="18.75" customHeight="1">
      <c r="A49" s="27">
        <v>3</v>
      </c>
      <c r="B49" s="51" t="s">
        <v>217</v>
      </c>
      <c r="C49" s="52" t="s">
        <v>392</v>
      </c>
      <c r="D49" s="53">
        <v>501</v>
      </c>
      <c r="E49" s="53">
        <v>1047620</v>
      </c>
      <c r="F49" s="16">
        <f t="shared" si="1"/>
        <v>-42620</v>
      </c>
      <c r="G49" s="22">
        <v>1005000</v>
      </c>
      <c r="H49" s="28">
        <v>3</v>
      </c>
      <c r="I49" s="15" t="s">
        <v>486</v>
      </c>
      <c r="J49" s="14" t="s">
        <v>484</v>
      </c>
      <c r="K49" s="14">
        <v>2500</v>
      </c>
      <c r="L49" s="46">
        <v>590480</v>
      </c>
    </row>
    <row r="50" spans="1:12" ht="17.25" customHeight="1">
      <c r="A50" s="27">
        <v>4</v>
      </c>
      <c r="B50" s="51" t="s">
        <v>218</v>
      </c>
      <c r="C50" s="52" t="s">
        <v>392</v>
      </c>
      <c r="D50" s="53">
        <v>645</v>
      </c>
      <c r="E50" s="53">
        <v>928570</v>
      </c>
      <c r="F50" s="16">
        <f t="shared" si="1"/>
        <v>-26570</v>
      </c>
      <c r="G50" s="22">
        <v>902000</v>
      </c>
      <c r="H50" s="28">
        <v>4</v>
      </c>
      <c r="I50" s="15" t="s">
        <v>487</v>
      </c>
      <c r="J50" s="14" t="s">
        <v>484</v>
      </c>
      <c r="K50" s="14">
        <v>2500</v>
      </c>
      <c r="L50" s="46">
        <v>604760</v>
      </c>
    </row>
    <row r="51" spans="1:12" ht="16.5">
      <c r="A51" s="27">
        <v>5</v>
      </c>
      <c r="B51" s="51" t="s">
        <v>219</v>
      </c>
      <c r="C51" s="52" t="s">
        <v>392</v>
      </c>
      <c r="D51" s="53">
        <v>656</v>
      </c>
      <c r="E51" s="53">
        <v>1085710</v>
      </c>
      <c r="F51" s="16">
        <f t="shared" si="1"/>
        <v>64290</v>
      </c>
      <c r="G51" s="22">
        <v>1150000</v>
      </c>
      <c r="H51" s="28">
        <v>5</v>
      </c>
      <c r="I51" s="15" t="s">
        <v>488</v>
      </c>
      <c r="J51" s="14" t="s">
        <v>484</v>
      </c>
      <c r="K51" s="14">
        <v>2500</v>
      </c>
      <c r="L51" s="46">
        <v>619050</v>
      </c>
    </row>
    <row r="52" spans="1:12" ht="16.5">
      <c r="A52" s="27">
        <v>6</v>
      </c>
      <c r="B52" s="51" t="s">
        <v>220</v>
      </c>
      <c r="C52" s="52" t="s">
        <v>392</v>
      </c>
      <c r="D52" s="53">
        <v>662</v>
      </c>
      <c r="E52" s="53">
        <v>1185710</v>
      </c>
      <c r="F52" s="16">
        <f t="shared" si="1"/>
        <v>-50710</v>
      </c>
      <c r="G52" s="22">
        <v>1135000</v>
      </c>
      <c r="H52" s="28">
        <v>6</v>
      </c>
      <c r="I52" s="15" t="s">
        <v>489</v>
      </c>
      <c r="J52" s="14" t="s">
        <v>484</v>
      </c>
      <c r="K52" s="14">
        <v>2500</v>
      </c>
      <c r="L52" s="46">
        <v>647620</v>
      </c>
    </row>
    <row r="53" spans="1:12" ht="16.5">
      <c r="A53" s="27">
        <v>7</v>
      </c>
      <c r="B53" s="51" t="s">
        <v>221</v>
      </c>
      <c r="C53" s="52" t="s">
        <v>392</v>
      </c>
      <c r="D53" s="53">
        <v>751</v>
      </c>
      <c r="E53" s="53">
        <v>1071430</v>
      </c>
      <c r="F53" s="16">
        <f t="shared" si="1"/>
        <v>-46430</v>
      </c>
      <c r="G53" s="22">
        <v>1025000</v>
      </c>
      <c r="H53" s="28">
        <v>7</v>
      </c>
      <c r="I53" s="15" t="s">
        <v>490</v>
      </c>
      <c r="J53" s="14" t="s">
        <v>484</v>
      </c>
      <c r="K53" s="14">
        <v>2500</v>
      </c>
      <c r="L53" s="46">
        <v>676190</v>
      </c>
    </row>
    <row r="54" spans="1:12" ht="16.5">
      <c r="A54" s="27">
        <v>8</v>
      </c>
      <c r="B54" s="51" t="s">
        <v>222</v>
      </c>
      <c r="C54" s="52" t="s">
        <v>392</v>
      </c>
      <c r="D54" s="53">
        <v>764</v>
      </c>
      <c r="E54" s="53">
        <v>1261900</v>
      </c>
      <c r="F54" s="16">
        <f t="shared" si="1"/>
        <v>3100</v>
      </c>
      <c r="G54" s="22">
        <v>1265000</v>
      </c>
      <c r="H54" s="28">
        <v>8</v>
      </c>
      <c r="I54" s="15" t="s">
        <v>491</v>
      </c>
      <c r="J54" s="14" t="s">
        <v>484</v>
      </c>
      <c r="K54" s="14">
        <v>2500</v>
      </c>
      <c r="L54" s="46">
        <v>685710</v>
      </c>
    </row>
    <row r="55" spans="1:12" ht="16.5">
      <c r="A55" s="27">
        <v>9</v>
      </c>
      <c r="B55" s="51" t="s">
        <v>223</v>
      </c>
      <c r="C55" s="52" t="s">
        <v>392</v>
      </c>
      <c r="D55" s="53">
        <v>776</v>
      </c>
      <c r="E55" s="53">
        <v>1423810</v>
      </c>
      <c r="F55" s="16">
        <f t="shared" si="1"/>
        <v>-18810</v>
      </c>
      <c r="G55" s="22">
        <v>1405000</v>
      </c>
      <c r="H55" s="28">
        <v>9</v>
      </c>
      <c r="I55" s="15" t="s">
        <v>492</v>
      </c>
      <c r="J55" s="14" t="s">
        <v>484</v>
      </c>
      <c r="K55" s="14">
        <v>2500</v>
      </c>
      <c r="L55" s="46">
        <v>704760</v>
      </c>
    </row>
    <row r="56" spans="1:12" ht="21.75" customHeight="1">
      <c r="A56" s="28" t="s">
        <v>503</v>
      </c>
      <c r="B56" s="392" t="s">
        <v>513</v>
      </c>
      <c r="C56" s="393"/>
      <c r="D56" s="54"/>
      <c r="E56" s="55"/>
      <c r="F56" s="14"/>
      <c r="G56" s="24"/>
      <c r="H56" s="28"/>
      <c r="I56" s="15"/>
      <c r="J56" s="14"/>
      <c r="K56" s="14"/>
      <c r="L56" s="46"/>
    </row>
    <row r="57" spans="1:7" ht="16.5">
      <c r="A57" s="28">
        <v>1</v>
      </c>
      <c r="B57" s="51" t="s">
        <v>417</v>
      </c>
      <c r="C57" s="52" t="s">
        <v>418</v>
      </c>
      <c r="D57" s="54">
        <v>110</v>
      </c>
      <c r="E57" s="53">
        <v>109520</v>
      </c>
      <c r="F57" s="16">
        <f aca="true" t="shared" si="2" ref="F57:F66">G57-E57</f>
        <v>-4520</v>
      </c>
      <c r="G57" s="25">
        <v>105000</v>
      </c>
    </row>
    <row r="58" spans="1:7" ht="16.5">
      <c r="A58" s="28">
        <v>2</v>
      </c>
      <c r="B58" s="51" t="s">
        <v>419</v>
      </c>
      <c r="C58" s="52" t="s">
        <v>418</v>
      </c>
      <c r="D58" s="54">
        <v>110</v>
      </c>
      <c r="E58" s="53">
        <v>119050</v>
      </c>
      <c r="F58" s="16">
        <f t="shared" si="2"/>
        <v>-4050</v>
      </c>
      <c r="G58" s="25">
        <v>115000</v>
      </c>
    </row>
    <row r="59" spans="1:7" ht="16.5">
      <c r="A59" s="28">
        <v>3</v>
      </c>
      <c r="B59" s="51" t="s">
        <v>420</v>
      </c>
      <c r="C59" s="52" t="s">
        <v>418</v>
      </c>
      <c r="D59" s="54">
        <v>110</v>
      </c>
      <c r="E59" s="53">
        <v>133330</v>
      </c>
      <c r="F59" s="16">
        <f t="shared" si="2"/>
        <v>-8330</v>
      </c>
      <c r="G59" s="25">
        <v>125000</v>
      </c>
    </row>
    <row r="60" spans="1:7" ht="16.5">
      <c r="A60" s="28">
        <v>4</v>
      </c>
      <c r="B60" s="51" t="s">
        <v>421</v>
      </c>
      <c r="C60" s="52" t="s">
        <v>418</v>
      </c>
      <c r="D60" s="54">
        <v>180</v>
      </c>
      <c r="E60" s="53">
        <v>142860</v>
      </c>
      <c r="F60" s="16">
        <f t="shared" si="2"/>
        <v>-7860</v>
      </c>
      <c r="G60" s="25">
        <v>135000</v>
      </c>
    </row>
    <row r="61" spans="1:7" ht="16.5">
      <c r="A61" s="28">
        <v>5</v>
      </c>
      <c r="B61" s="51" t="s">
        <v>422</v>
      </c>
      <c r="C61" s="52" t="s">
        <v>418</v>
      </c>
      <c r="D61" s="54">
        <v>180</v>
      </c>
      <c r="E61" s="53">
        <v>147620</v>
      </c>
      <c r="F61" s="16">
        <f t="shared" si="2"/>
        <v>-7620</v>
      </c>
      <c r="G61" s="25">
        <v>140000</v>
      </c>
    </row>
    <row r="62" spans="1:7" ht="16.5">
      <c r="A62" s="28">
        <v>6</v>
      </c>
      <c r="B62" s="51" t="s">
        <v>423</v>
      </c>
      <c r="C62" s="52" t="s">
        <v>418</v>
      </c>
      <c r="D62" s="54">
        <v>180</v>
      </c>
      <c r="E62" s="53">
        <v>166670</v>
      </c>
      <c r="F62" s="16">
        <f t="shared" si="2"/>
        <v>1330</v>
      </c>
      <c r="G62" s="25">
        <v>168000</v>
      </c>
    </row>
    <row r="63" spans="1:7" ht="16.5">
      <c r="A63" s="28">
        <v>7</v>
      </c>
      <c r="B63" s="51" t="s">
        <v>424</v>
      </c>
      <c r="C63" s="52" t="s">
        <v>418</v>
      </c>
      <c r="D63" s="54">
        <v>295</v>
      </c>
      <c r="E63" s="53">
        <v>238090</v>
      </c>
      <c r="F63" s="16">
        <f t="shared" si="2"/>
        <v>-8090</v>
      </c>
      <c r="G63" s="25">
        <v>230000</v>
      </c>
    </row>
    <row r="64" spans="1:7" ht="16.5">
      <c r="A64" s="28">
        <v>8</v>
      </c>
      <c r="B64" s="51" t="s">
        <v>425</v>
      </c>
      <c r="C64" s="52" t="s">
        <v>418</v>
      </c>
      <c r="D64" s="54">
        <v>295</v>
      </c>
      <c r="E64" s="53">
        <v>266670</v>
      </c>
      <c r="F64" s="16">
        <f t="shared" si="2"/>
        <v>-11670</v>
      </c>
      <c r="G64" s="25">
        <v>255000</v>
      </c>
    </row>
    <row r="65" spans="1:7" ht="16.5">
      <c r="A65" s="28">
        <v>9</v>
      </c>
      <c r="B65" s="51" t="s">
        <v>426</v>
      </c>
      <c r="C65" s="52" t="s">
        <v>418</v>
      </c>
      <c r="D65" s="54">
        <v>295</v>
      </c>
      <c r="E65" s="53">
        <v>285710</v>
      </c>
      <c r="F65" s="16">
        <f t="shared" si="2"/>
        <v>-10710</v>
      </c>
      <c r="G65" s="25">
        <v>275000</v>
      </c>
    </row>
    <row r="66" spans="1:12" ht="16.5">
      <c r="A66" s="28">
        <v>10</v>
      </c>
      <c r="B66" s="51" t="s">
        <v>427</v>
      </c>
      <c r="C66" s="52" t="s">
        <v>418</v>
      </c>
      <c r="D66" s="54">
        <v>295</v>
      </c>
      <c r="E66" s="53">
        <v>328570</v>
      </c>
      <c r="F66" s="16">
        <f t="shared" si="2"/>
        <v>-18570</v>
      </c>
      <c r="G66" s="25">
        <v>310000</v>
      </c>
      <c r="H66" s="32"/>
      <c r="I66" s="33"/>
      <c r="J66" s="34"/>
      <c r="K66" s="34"/>
      <c r="L66" s="49"/>
    </row>
    <row r="67" spans="1:12" ht="17.25">
      <c r="A67" s="28" t="s">
        <v>504</v>
      </c>
      <c r="B67" s="38" t="s">
        <v>512</v>
      </c>
      <c r="C67" s="56"/>
      <c r="D67" s="57"/>
      <c r="E67" s="57"/>
      <c r="F67" s="11"/>
      <c r="G67" s="26"/>
      <c r="H67" s="32"/>
      <c r="I67" s="29"/>
      <c r="J67" s="29"/>
      <c r="K67" s="29"/>
      <c r="L67" s="50"/>
    </row>
    <row r="68" spans="1:12" ht="16.5">
      <c r="A68" s="28">
        <v>1</v>
      </c>
      <c r="B68" s="51" t="s">
        <v>428</v>
      </c>
      <c r="C68" s="52" t="s">
        <v>418</v>
      </c>
      <c r="D68" s="54">
        <v>283</v>
      </c>
      <c r="E68" s="53">
        <v>209520</v>
      </c>
      <c r="F68" s="16">
        <f aca="true" t="shared" si="3" ref="F68:F83">G68-E68</f>
        <v>-9520</v>
      </c>
      <c r="G68" s="25">
        <v>200000</v>
      </c>
      <c r="H68" s="32"/>
      <c r="I68" s="29"/>
      <c r="J68" s="29"/>
      <c r="K68" s="29"/>
      <c r="L68" s="50"/>
    </row>
    <row r="69" spans="1:12" ht="16.5">
      <c r="A69" s="28">
        <v>2</v>
      </c>
      <c r="B69" s="51" t="s">
        <v>429</v>
      </c>
      <c r="C69" s="52" t="s">
        <v>418</v>
      </c>
      <c r="D69" s="54">
        <v>285</v>
      </c>
      <c r="E69" s="53">
        <v>247620</v>
      </c>
      <c r="F69" s="16">
        <f t="shared" si="3"/>
        <v>-12620</v>
      </c>
      <c r="G69" s="25">
        <v>235000</v>
      </c>
      <c r="H69" s="32"/>
      <c r="I69" s="29"/>
      <c r="J69" s="29"/>
      <c r="K69" s="29"/>
      <c r="L69" s="50"/>
    </row>
    <row r="70" spans="1:12" ht="16.5">
      <c r="A70" s="28">
        <v>3</v>
      </c>
      <c r="B70" s="51" t="s">
        <v>430</v>
      </c>
      <c r="C70" s="52" t="s">
        <v>418</v>
      </c>
      <c r="D70" s="54">
        <v>287</v>
      </c>
      <c r="E70" s="53">
        <v>271430</v>
      </c>
      <c r="F70" s="16">
        <f t="shared" si="3"/>
        <v>-16430</v>
      </c>
      <c r="G70" s="25">
        <v>255000</v>
      </c>
      <c r="H70" s="32"/>
      <c r="I70" s="29"/>
      <c r="J70" s="29"/>
      <c r="K70" s="29"/>
      <c r="L70" s="50"/>
    </row>
    <row r="71" spans="1:12" ht="16.5">
      <c r="A71" s="28">
        <v>4</v>
      </c>
      <c r="B71" s="51" t="s">
        <v>431</v>
      </c>
      <c r="C71" s="52" t="s">
        <v>418</v>
      </c>
      <c r="D71" s="54">
        <v>288</v>
      </c>
      <c r="E71" s="53">
        <v>285710</v>
      </c>
      <c r="F71" s="16">
        <f t="shared" si="3"/>
        <v>-14710</v>
      </c>
      <c r="G71" s="25">
        <v>271000</v>
      </c>
      <c r="H71" s="32"/>
      <c r="I71" s="29"/>
      <c r="J71" s="29"/>
      <c r="K71" s="29"/>
      <c r="L71" s="50"/>
    </row>
    <row r="72" spans="1:12" ht="16.5">
      <c r="A72" s="28">
        <v>5</v>
      </c>
      <c r="B72" s="51" t="s">
        <v>432</v>
      </c>
      <c r="C72" s="52" t="s">
        <v>418</v>
      </c>
      <c r="D72" s="54">
        <v>632</v>
      </c>
      <c r="E72" s="53">
        <v>466670</v>
      </c>
      <c r="F72" s="16">
        <f t="shared" si="3"/>
        <v>-26670</v>
      </c>
      <c r="G72" s="25">
        <v>440000</v>
      </c>
      <c r="H72" s="32"/>
      <c r="I72" s="29"/>
      <c r="J72" s="29"/>
      <c r="K72" s="29"/>
      <c r="L72" s="50"/>
    </row>
    <row r="73" spans="1:12" ht="16.5">
      <c r="A73" s="28">
        <v>6</v>
      </c>
      <c r="B73" s="51" t="s">
        <v>433</v>
      </c>
      <c r="C73" s="52" t="s">
        <v>418</v>
      </c>
      <c r="D73" s="54">
        <v>634</v>
      </c>
      <c r="E73" s="53">
        <v>523810</v>
      </c>
      <c r="F73" s="16">
        <f t="shared" si="3"/>
        <v>-28810</v>
      </c>
      <c r="G73" s="25">
        <v>495000</v>
      </c>
      <c r="H73" s="32"/>
      <c r="I73" s="29"/>
      <c r="J73" s="29"/>
      <c r="K73" s="29"/>
      <c r="L73" s="50"/>
    </row>
    <row r="74" spans="1:12" ht="16.5">
      <c r="A74" s="28">
        <v>7</v>
      </c>
      <c r="B74" s="51" t="s">
        <v>434</v>
      </c>
      <c r="C74" s="52" t="s">
        <v>418</v>
      </c>
      <c r="D74" s="54">
        <v>635</v>
      </c>
      <c r="E74" s="53">
        <v>614286</v>
      </c>
      <c r="F74" s="16">
        <f t="shared" si="3"/>
        <v>-36286</v>
      </c>
      <c r="G74" s="25">
        <v>578000</v>
      </c>
      <c r="H74" s="32"/>
      <c r="I74" s="29"/>
      <c r="J74" s="29"/>
      <c r="K74" s="29"/>
      <c r="L74" s="50"/>
    </row>
    <row r="75" spans="1:12" ht="16.5">
      <c r="A75" s="28">
        <v>8</v>
      </c>
      <c r="B75" s="51" t="s">
        <v>435</v>
      </c>
      <c r="C75" s="52" t="s">
        <v>418</v>
      </c>
      <c r="D75" s="54">
        <v>637</v>
      </c>
      <c r="E75" s="53">
        <v>623810</v>
      </c>
      <c r="F75" s="16">
        <f t="shared" si="3"/>
        <v>-25810</v>
      </c>
      <c r="G75" s="25">
        <v>598000</v>
      </c>
      <c r="H75" s="32"/>
      <c r="I75" s="29"/>
      <c r="J75" s="29"/>
      <c r="K75" s="29"/>
      <c r="L75" s="50"/>
    </row>
    <row r="76" spans="1:12" ht="16.5">
      <c r="A76" s="28">
        <v>9</v>
      </c>
      <c r="B76" s="51" t="s">
        <v>436</v>
      </c>
      <c r="C76" s="52" t="s">
        <v>418</v>
      </c>
      <c r="D76" s="54">
        <v>664</v>
      </c>
      <c r="E76" s="53">
        <v>514290</v>
      </c>
      <c r="F76" s="16">
        <f t="shared" si="3"/>
        <v>-28290</v>
      </c>
      <c r="G76" s="25">
        <v>486000</v>
      </c>
      <c r="H76" s="32"/>
      <c r="I76" s="29"/>
      <c r="J76" s="29"/>
      <c r="K76" s="29"/>
      <c r="L76" s="50"/>
    </row>
    <row r="77" spans="1:12" ht="16.5">
      <c r="A77" s="28">
        <v>10</v>
      </c>
      <c r="B77" s="51" t="s">
        <v>437</v>
      </c>
      <c r="C77" s="52" t="s">
        <v>418</v>
      </c>
      <c r="D77" s="54">
        <v>666</v>
      </c>
      <c r="E77" s="53">
        <v>571430</v>
      </c>
      <c r="F77" s="16">
        <f t="shared" si="3"/>
        <v>-31430</v>
      </c>
      <c r="G77" s="25">
        <v>540000</v>
      </c>
      <c r="H77" s="32"/>
      <c r="I77" s="29"/>
      <c r="J77" s="29"/>
      <c r="K77" s="29"/>
      <c r="L77" s="50"/>
    </row>
    <row r="78" spans="1:12" ht="16.5">
      <c r="A78" s="28">
        <v>11</v>
      </c>
      <c r="B78" s="51" t="s">
        <v>438</v>
      </c>
      <c r="C78" s="52" t="s">
        <v>418</v>
      </c>
      <c r="D78" s="54">
        <v>667</v>
      </c>
      <c r="E78" s="53">
        <v>628570</v>
      </c>
      <c r="F78" s="16">
        <f t="shared" si="3"/>
        <v>-33570</v>
      </c>
      <c r="G78" s="25">
        <v>595000</v>
      </c>
      <c r="H78" s="32"/>
      <c r="I78" s="29"/>
      <c r="J78" s="29"/>
      <c r="K78" s="29"/>
      <c r="L78" s="50"/>
    </row>
    <row r="79" spans="1:12" ht="16.5">
      <c r="A79" s="28">
        <v>12</v>
      </c>
      <c r="B79" s="51" t="s">
        <v>439</v>
      </c>
      <c r="C79" s="52" t="s">
        <v>418</v>
      </c>
      <c r="D79" s="54">
        <v>670</v>
      </c>
      <c r="E79" s="53">
        <v>633330</v>
      </c>
      <c r="F79" s="16">
        <f t="shared" si="3"/>
        <v>-28330</v>
      </c>
      <c r="G79" s="25">
        <v>605000</v>
      </c>
      <c r="H79" s="32"/>
      <c r="I79" s="29"/>
      <c r="J79" s="29"/>
      <c r="K79" s="29"/>
      <c r="L79" s="50"/>
    </row>
    <row r="80" spans="1:12" ht="16.5">
      <c r="A80" s="28">
        <v>13</v>
      </c>
      <c r="B80" s="51" t="s">
        <v>440</v>
      </c>
      <c r="C80" s="52" t="s">
        <v>418</v>
      </c>
      <c r="D80" s="54">
        <v>915</v>
      </c>
      <c r="E80" s="53">
        <v>671430</v>
      </c>
      <c r="F80" s="16">
        <f t="shared" si="3"/>
        <v>-31430</v>
      </c>
      <c r="G80" s="25">
        <v>640000</v>
      </c>
      <c r="H80" s="32"/>
      <c r="I80" s="29"/>
      <c r="J80" s="29"/>
      <c r="K80" s="29"/>
      <c r="L80" s="50"/>
    </row>
    <row r="81" spans="1:12" ht="16.5">
      <c r="A81" s="28">
        <v>14</v>
      </c>
      <c r="B81" s="51" t="s">
        <v>441</v>
      </c>
      <c r="C81" s="52" t="s">
        <v>418</v>
      </c>
      <c r="D81" s="54">
        <v>917</v>
      </c>
      <c r="E81" s="53">
        <v>771430</v>
      </c>
      <c r="F81" s="16">
        <f t="shared" si="3"/>
        <v>-41430</v>
      </c>
      <c r="G81" s="25">
        <v>730000</v>
      </c>
      <c r="H81" s="32"/>
      <c r="I81" s="29"/>
      <c r="J81" s="29"/>
      <c r="K81" s="29"/>
      <c r="L81" s="50"/>
    </row>
    <row r="82" spans="1:12" ht="16.5">
      <c r="A82" s="28">
        <v>15</v>
      </c>
      <c r="B82" s="51" t="s">
        <v>442</v>
      </c>
      <c r="C82" s="52" t="s">
        <v>418</v>
      </c>
      <c r="D82" s="54">
        <v>923</v>
      </c>
      <c r="E82" s="53">
        <v>890480</v>
      </c>
      <c r="F82" s="16">
        <f t="shared" si="3"/>
        <v>-50480</v>
      </c>
      <c r="G82" s="25">
        <v>840000</v>
      </c>
      <c r="H82" s="32"/>
      <c r="I82" s="29"/>
      <c r="J82" s="29"/>
      <c r="K82" s="29"/>
      <c r="L82" s="50"/>
    </row>
    <row r="83" spans="1:12" ht="16.5">
      <c r="A83" s="28">
        <v>16</v>
      </c>
      <c r="B83" s="51" t="s">
        <v>443</v>
      </c>
      <c r="C83" s="52" t="s">
        <v>418</v>
      </c>
      <c r="D83" s="54">
        <v>930</v>
      </c>
      <c r="E83" s="53">
        <v>900000</v>
      </c>
      <c r="F83" s="16">
        <f t="shared" si="3"/>
        <v>-50000</v>
      </c>
      <c r="G83" s="25">
        <v>850000</v>
      </c>
      <c r="H83" s="32"/>
      <c r="I83" s="29"/>
      <c r="J83" s="29"/>
      <c r="K83" s="29"/>
      <c r="L83" s="50"/>
    </row>
    <row r="84" spans="6:7" ht="16.5" hidden="1">
      <c r="F84" s="9"/>
      <c r="G84" s="10"/>
    </row>
    <row r="85" spans="6:7" ht="16.5" hidden="1">
      <c r="F85" s="3">
        <f>G85-L3</f>
        <v>-860</v>
      </c>
      <c r="G85" s="6">
        <v>42000</v>
      </c>
    </row>
    <row r="86" spans="6:7" ht="16.5" hidden="1">
      <c r="F86" s="3">
        <f>G86-L4</f>
        <v>-2140</v>
      </c>
      <c r="G86" s="6">
        <v>55000</v>
      </c>
    </row>
    <row r="87" spans="6:7" ht="16.5" hidden="1">
      <c r="F87" s="3">
        <f>G87-L5</f>
        <v>1520</v>
      </c>
      <c r="G87" s="6">
        <v>92000</v>
      </c>
    </row>
    <row r="88" spans="6:7" ht="16.5" hidden="1">
      <c r="F88" s="3">
        <f>G88-L6</f>
        <v>2620</v>
      </c>
      <c r="G88" s="6">
        <v>155000</v>
      </c>
    </row>
    <row r="89" spans="6:7" ht="16.5" hidden="1">
      <c r="F89" s="2"/>
      <c r="G89" s="5"/>
    </row>
    <row r="90" spans="6:7" ht="16.5" hidden="1">
      <c r="F90" s="3">
        <f aca="true" t="shared" si="4" ref="F90:F106">G90-L8</f>
        <v>570</v>
      </c>
      <c r="G90" s="6">
        <v>72000</v>
      </c>
    </row>
    <row r="91" spans="6:7" ht="16.5" hidden="1">
      <c r="F91" s="3">
        <f t="shared" si="4"/>
        <v>-2000</v>
      </c>
      <c r="G91" s="6">
        <v>98000</v>
      </c>
    </row>
    <row r="92" spans="6:7" ht="16.5" hidden="1">
      <c r="F92" s="3">
        <f t="shared" si="4"/>
        <v>-2380</v>
      </c>
      <c r="G92" s="6">
        <v>150000</v>
      </c>
    </row>
    <row r="93" spans="6:7" ht="16.5" hidden="1">
      <c r="F93" s="3">
        <f t="shared" si="4"/>
        <v>-2860</v>
      </c>
      <c r="G93" s="6">
        <v>240000</v>
      </c>
    </row>
    <row r="94" spans="6:7" ht="16.5" hidden="1">
      <c r="F94" s="3">
        <f t="shared" si="4"/>
        <v>-13810</v>
      </c>
      <c r="G94" s="6">
        <v>410000</v>
      </c>
    </row>
    <row r="95" spans="6:7" ht="16.5" hidden="1">
      <c r="F95" s="3">
        <f t="shared" si="4"/>
        <v>-9240</v>
      </c>
      <c r="G95" s="6">
        <v>586000</v>
      </c>
    </row>
    <row r="96" spans="6:7" ht="16.5" hidden="1">
      <c r="F96" s="3">
        <f t="shared" si="4"/>
        <v>-25710</v>
      </c>
      <c r="G96" s="6">
        <v>1060000</v>
      </c>
    </row>
    <row r="97" spans="6:7" ht="16.5" hidden="1">
      <c r="F97" s="3">
        <f t="shared" si="4"/>
        <v>16670</v>
      </c>
      <c r="G97" s="6">
        <v>1150000</v>
      </c>
    </row>
    <row r="98" spans="6:7" ht="16.5" hidden="1">
      <c r="F98" s="3">
        <f t="shared" si="4"/>
        <v>0</v>
      </c>
      <c r="G98" s="6">
        <v>1200000</v>
      </c>
    </row>
    <row r="99" spans="6:7" ht="16.5" hidden="1">
      <c r="F99" s="3">
        <f t="shared" si="4"/>
        <v>-2380</v>
      </c>
      <c r="G99" s="6">
        <v>1250000</v>
      </c>
    </row>
    <row r="100" spans="6:7" ht="16.5" hidden="1">
      <c r="F100" s="3">
        <f t="shared" si="4"/>
        <v>-9520</v>
      </c>
      <c r="G100" s="6">
        <v>1300000</v>
      </c>
    </row>
    <row r="101" spans="6:7" ht="16.5" hidden="1">
      <c r="F101" s="3">
        <f t="shared" si="4"/>
        <v>-35710</v>
      </c>
      <c r="G101" s="6">
        <v>1350000</v>
      </c>
    </row>
    <row r="102" spans="6:7" ht="16.5" hidden="1">
      <c r="F102" s="3">
        <f t="shared" si="4"/>
        <v>-27620</v>
      </c>
      <c r="G102" s="6">
        <v>1420000</v>
      </c>
    </row>
    <row r="103" spans="6:7" ht="16.5" hidden="1">
      <c r="F103" s="3">
        <f t="shared" si="4"/>
        <v>-48090</v>
      </c>
      <c r="G103" s="6">
        <v>1490000</v>
      </c>
    </row>
    <row r="104" spans="6:7" ht="16.5" hidden="1">
      <c r="F104" s="3">
        <f t="shared" si="4"/>
        <v>-419050</v>
      </c>
      <c r="G104" s="6">
        <v>1500000</v>
      </c>
    </row>
    <row r="105" spans="6:7" ht="16.5" hidden="1">
      <c r="F105" s="3">
        <f t="shared" si="4"/>
        <v>-45240</v>
      </c>
      <c r="G105" s="6">
        <v>1650000</v>
      </c>
    </row>
    <row r="106" spans="6:7" ht="16.5" hidden="1">
      <c r="F106" s="3">
        <f t="shared" si="4"/>
        <v>-345476</v>
      </c>
      <c r="G106" s="6">
        <v>5185000</v>
      </c>
    </row>
    <row r="107" spans="6:7" ht="16.5" hidden="1">
      <c r="F107" s="2"/>
      <c r="G107" s="5"/>
    </row>
    <row r="108" spans="6:7" ht="16.5" hidden="1">
      <c r="F108" s="3">
        <f aca="true" t="shared" si="5" ref="F108:F127">G108-L26</f>
        <v>-39050</v>
      </c>
      <c r="G108" s="6">
        <v>380000</v>
      </c>
    </row>
    <row r="109" spans="6:7" ht="16.5" hidden="1">
      <c r="F109" s="3">
        <f t="shared" si="5"/>
        <v>-14760</v>
      </c>
      <c r="G109" s="6">
        <v>390000</v>
      </c>
    </row>
    <row r="110" spans="6:7" ht="16.5" hidden="1">
      <c r="F110" s="3">
        <f t="shared" si="5"/>
        <v>-32140</v>
      </c>
      <c r="G110" s="6">
        <v>425000</v>
      </c>
    </row>
    <row r="111" spans="6:7" ht="16.5" hidden="1">
      <c r="F111" s="3">
        <f t="shared" si="5"/>
        <v>-33090</v>
      </c>
      <c r="G111" s="6">
        <v>405000</v>
      </c>
    </row>
    <row r="112" spans="6:7" ht="16.5" hidden="1">
      <c r="F112" s="3">
        <f t="shared" si="5"/>
        <v>-35000</v>
      </c>
      <c r="G112" s="6">
        <v>465000</v>
      </c>
    </row>
    <row r="113" spans="6:7" ht="16.5" hidden="1">
      <c r="F113" s="3">
        <f t="shared" si="5"/>
        <v>-17380</v>
      </c>
      <c r="G113" s="6">
        <v>435000</v>
      </c>
    </row>
    <row r="114" spans="6:7" ht="16.5" hidden="1">
      <c r="F114" s="3">
        <f t="shared" si="5"/>
        <v>-38330</v>
      </c>
      <c r="G114" s="7">
        <v>495000</v>
      </c>
    </row>
    <row r="115" spans="6:7" ht="16.5" hidden="1">
      <c r="F115" s="3">
        <f t="shared" si="5"/>
        <v>-39290</v>
      </c>
      <c r="G115" s="7">
        <v>475000</v>
      </c>
    </row>
    <row r="116" spans="6:7" ht="16.5" hidden="1">
      <c r="F116" s="3">
        <f t="shared" si="5"/>
        <v>-45240</v>
      </c>
      <c r="G116" s="6">
        <v>550000</v>
      </c>
    </row>
    <row r="117" spans="6:7" ht="16.5" hidden="1">
      <c r="F117" s="3">
        <f t="shared" si="5"/>
        <v>-43090</v>
      </c>
      <c r="G117" s="6">
        <v>495000</v>
      </c>
    </row>
    <row r="118" spans="6:7" ht="16.5" hidden="1">
      <c r="F118" s="3">
        <f t="shared" si="5"/>
        <v>-40480</v>
      </c>
      <c r="G118" s="7">
        <v>530000</v>
      </c>
    </row>
    <row r="119" spans="6:7" ht="16.5" hidden="1">
      <c r="F119" s="3">
        <f t="shared" si="5"/>
        <v>-40620</v>
      </c>
      <c r="G119" s="6">
        <v>507000</v>
      </c>
    </row>
    <row r="120" spans="6:7" ht="16.5" hidden="1">
      <c r="F120" s="3">
        <f t="shared" si="5"/>
        <v>-36900</v>
      </c>
      <c r="G120" s="6">
        <v>525000</v>
      </c>
    </row>
    <row r="121" spans="6:7" ht="16.5" hidden="1">
      <c r="F121" s="3">
        <f t="shared" si="5"/>
        <v>-36190</v>
      </c>
      <c r="G121" s="7">
        <v>540000</v>
      </c>
    </row>
    <row r="122" spans="6:7" ht="16.5" hidden="1">
      <c r="F122" s="3">
        <f t="shared" si="5"/>
        <v>-41190</v>
      </c>
      <c r="G122" s="6">
        <v>635000</v>
      </c>
    </row>
    <row r="123" spans="6:7" ht="16.5" hidden="1">
      <c r="F123" s="3">
        <f t="shared" si="5"/>
        <v>-45240</v>
      </c>
      <c r="G123" s="6">
        <v>650000</v>
      </c>
    </row>
    <row r="124" spans="6:7" ht="16.5" hidden="1">
      <c r="F124" s="3">
        <f t="shared" si="5"/>
        <v>0</v>
      </c>
      <c r="G124" s="5"/>
    </row>
    <row r="125" spans="6:7" ht="16.5" hidden="1">
      <c r="F125" s="3">
        <f t="shared" si="5"/>
        <v>-5810</v>
      </c>
      <c r="G125" s="7">
        <v>18000</v>
      </c>
    </row>
    <row r="126" spans="6:7" ht="16.5" hidden="1">
      <c r="F126" s="3">
        <f t="shared" si="5"/>
        <v>-130</v>
      </c>
      <c r="G126" s="6">
        <v>2600</v>
      </c>
    </row>
    <row r="127" spans="6:7" ht="16.5" hidden="1">
      <c r="F127" s="3">
        <f t="shared" si="5"/>
        <v>30000</v>
      </c>
      <c r="G127" s="6">
        <v>30000</v>
      </c>
    </row>
    <row r="128" spans="6:7" ht="16.5" hidden="1">
      <c r="F128" s="2"/>
      <c r="G128" s="5"/>
    </row>
    <row r="129" spans="6:7" ht="16.5" hidden="1">
      <c r="F129" s="3">
        <f aca="true" t="shared" si="6" ref="F129:F138">G129-L47</f>
        <v>8670</v>
      </c>
      <c r="G129" s="7">
        <v>542000</v>
      </c>
    </row>
    <row r="130" spans="6:7" ht="16.5" hidden="1">
      <c r="F130" s="3">
        <f t="shared" si="6"/>
        <v>11050</v>
      </c>
      <c r="G130" s="7">
        <v>592000</v>
      </c>
    </row>
    <row r="131" spans="6:7" ht="16.5" hidden="1">
      <c r="F131" s="3">
        <f t="shared" si="6"/>
        <v>14520</v>
      </c>
      <c r="G131" s="7">
        <v>605000</v>
      </c>
    </row>
    <row r="132" spans="6:7" ht="16.5" hidden="1">
      <c r="F132" s="3">
        <f t="shared" si="6"/>
        <v>15240</v>
      </c>
      <c r="G132" s="7">
        <v>620000</v>
      </c>
    </row>
    <row r="133" spans="6:7" ht="16.5" hidden="1">
      <c r="F133" s="3">
        <f t="shared" si="6"/>
        <v>20950</v>
      </c>
      <c r="G133" s="7">
        <v>640000</v>
      </c>
    </row>
    <row r="134" spans="6:7" ht="16.5" hidden="1">
      <c r="F134" s="3">
        <f t="shared" si="6"/>
        <v>12380</v>
      </c>
      <c r="G134" s="7">
        <v>660000</v>
      </c>
    </row>
    <row r="135" spans="6:7" ht="16.5" hidden="1">
      <c r="F135" s="3">
        <f t="shared" si="6"/>
        <v>-6190</v>
      </c>
      <c r="G135" s="7">
        <v>670000</v>
      </c>
    </row>
    <row r="136" spans="6:7" ht="16.5" hidden="1">
      <c r="F136" s="3">
        <f t="shared" si="6"/>
        <v>6290</v>
      </c>
      <c r="G136" s="7">
        <v>692000</v>
      </c>
    </row>
    <row r="137" spans="6:7" ht="16.5" hidden="1">
      <c r="F137" s="3">
        <f t="shared" si="6"/>
        <v>7240</v>
      </c>
      <c r="G137" s="7">
        <v>712000</v>
      </c>
    </row>
    <row r="138" spans="6:7" ht="16.5" hidden="1">
      <c r="F138" s="3">
        <f t="shared" si="6"/>
        <v>750000</v>
      </c>
      <c r="G138" s="7">
        <v>750000</v>
      </c>
    </row>
    <row r="139" spans="6:7" ht="16.5" hidden="1">
      <c r="F139" s="4"/>
      <c r="G139" s="8"/>
    </row>
  </sheetData>
  <sheetProtection/>
  <mergeCells count="5">
    <mergeCell ref="A1:E1"/>
    <mergeCell ref="B56:C56"/>
    <mergeCell ref="B3:F3"/>
    <mergeCell ref="B9:F9"/>
    <mergeCell ref="D10:D11"/>
  </mergeCells>
  <printOptions horizontalCentered="1"/>
  <pageMargins left="0.57" right="0.25" top="0.64" bottom="0.58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50"/>
  <sheetViews>
    <sheetView zoomScalePageLayoutView="0" workbookViewId="0" topLeftCell="A1">
      <selection activeCell="A1" sqref="A1:D1"/>
    </sheetView>
  </sheetViews>
  <sheetFormatPr defaultColWidth="8.796875" defaultRowHeight="15"/>
  <cols>
    <col min="1" max="1" width="5.5" style="0" customWidth="1"/>
    <col min="2" max="2" width="26.5" style="0" customWidth="1"/>
    <col min="3" max="3" width="8" style="0" customWidth="1"/>
    <col min="4" max="4" width="16.8984375" style="48" customWidth="1"/>
    <col min="5" max="5" width="19.8984375" style="109" customWidth="1"/>
    <col min="6" max="16384" width="9" style="30" customWidth="1"/>
  </cols>
  <sheetData>
    <row r="1" spans="1:4" ht="27" customHeight="1">
      <c r="A1" s="397" t="s">
        <v>283</v>
      </c>
      <c r="B1" s="397"/>
      <c r="C1" s="397"/>
      <c r="D1" s="397"/>
    </row>
    <row r="2" spans="1:4" ht="21.75" customHeight="1">
      <c r="A2" s="106" t="s">
        <v>284</v>
      </c>
      <c r="B2" s="95"/>
      <c r="C2" s="95"/>
      <c r="D2" s="95"/>
    </row>
    <row r="3" spans="1:4" ht="25.5" customHeight="1">
      <c r="A3" s="398" t="s">
        <v>378</v>
      </c>
      <c r="B3" s="398" t="s">
        <v>285</v>
      </c>
      <c r="C3" s="398" t="s">
        <v>275</v>
      </c>
      <c r="D3" s="398" t="s">
        <v>286</v>
      </c>
    </row>
    <row r="4" spans="1:4" ht="15.75" thickBot="1">
      <c r="A4" s="399"/>
      <c r="B4" s="399"/>
      <c r="C4" s="399"/>
      <c r="D4" s="399"/>
    </row>
    <row r="5" spans="1:4" ht="17.25" thickTop="1">
      <c r="A5" s="87"/>
      <c r="B5" s="88"/>
      <c r="C5" s="89"/>
      <c r="D5" s="90"/>
    </row>
    <row r="6" spans="1:4" ht="15.75">
      <c r="A6" s="101" t="s">
        <v>499</v>
      </c>
      <c r="B6" s="100" t="s">
        <v>287</v>
      </c>
      <c r="C6" s="97"/>
      <c r="D6" s="102"/>
    </row>
    <row r="7" spans="1:5" ht="15.75">
      <c r="A7" s="103">
        <v>1</v>
      </c>
      <c r="B7" s="96" t="s">
        <v>288</v>
      </c>
      <c r="C7" s="97" t="s">
        <v>289</v>
      </c>
      <c r="D7" s="110">
        <f>E7/1.1</f>
        <v>1609090.909090909</v>
      </c>
      <c r="E7" s="109">
        <v>1770000</v>
      </c>
    </row>
    <row r="8" spans="1:5" ht="15.75">
      <c r="A8" s="103">
        <v>2</v>
      </c>
      <c r="B8" s="96" t="s">
        <v>290</v>
      </c>
      <c r="C8" s="97" t="s">
        <v>289</v>
      </c>
      <c r="D8" s="110">
        <f aca="true" t="shared" si="0" ref="D8:D77">E8/1.1</f>
        <v>1709090.909090909</v>
      </c>
      <c r="E8" s="109">
        <v>1880000</v>
      </c>
    </row>
    <row r="9" spans="1:5" ht="15.75">
      <c r="A9" s="103">
        <v>3</v>
      </c>
      <c r="B9" s="96" t="s">
        <v>291</v>
      </c>
      <c r="C9" s="97" t="s">
        <v>289</v>
      </c>
      <c r="D9" s="110">
        <f t="shared" si="0"/>
        <v>1881818.1818181816</v>
      </c>
      <c r="E9" s="109">
        <v>2070000</v>
      </c>
    </row>
    <row r="10" spans="1:5" ht="15.75">
      <c r="A10" s="103">
        <v>4</v>
      </c>
      <c r="B10" s="96" t="s">
        <v>293</v>
      </c>
      <c r="C10" s="97" t="s">
        <v>289</v>
      </c>
      <c r="D10" s="110">
        <f t="shared" si="0"/>
        <v>2022727.2727272725</v>
      </c>
      <c r="E10" s="109">
        <v>2225000</v>
      </c>
    </row>
    <row r="11" spans="1:5" ht="15.75">
      <c r="A11" s="103">
        <v>5</v>
      </c>
      <c r="B11" s="96" t="s">
        <v>294</v>
      </c>
      <c r="C11" s="97" t="s">
        <v>289</v>
      </c>
      <c r="D11" s="110">
        <f t="shared" si="0"/>
        <v>2418181.818181818</v>
      </c>
      <c r="E11" s="109">
        <v>2660000</v>
      </c>
    </row>
    <row r="12" spans="1:5" ht="15.75">
      <c r="A12" s="103">
        <v>6</v>
      </c>
      <c r="B12" s="96" t="s">
        <v>295</v>
      </c>
      <c r="C12" s="97" t="s">
        <v>289</v>
      </c>
      <c r="D12" s="110">
        <f t="shared" si="0"/>
        <v>2400000</v>
      </c>
      <c r="E12" s="109">
        <v>2640000</v>
      </c>
    </row>
    <row r="13" spans="1:5" ht="15.75">
      <c r="A13" s="103">
        <v>7</v>
      </c>
      <c r="B13" s="96" t="s">
        <v>296</v>
      </c>
      <c r="C13" s="97" t="s">
        <v>289</v>
      </c>
      <c r="D13" s="110">
        <f t="shared" si="0"/>
        <v>2563636.3636363633</v>
      </c>
      <c r="E13" s="109">
        <v>2820000</v>
      </c>
    </row>
    <row r="14" spans="1:5" ht="15.75">
      <c r="A14" s="103">
        <v>8</v>
      </c>
      <c r="B14" s="96" t="s">
        <v>297</v>
      </c>
      <c r="C14" s="97" t="s">
        <v>289</v>
      </c>
      <c r="D14" s="110">
        <f t="shared" si="0"/>
        <v>2800000</v>
      </c>
      <c r="E14" s="109">
        <v>3080000</v>
      </c>
    </row>
    <row r="15" spans="1:5" ht="15.75">
      <c r="A15" s="103">
        <v>9</v>
      </c>
      <c r="B15" s="96" t="s">
        <v>298</v>
      </c>
      <c r="C15" s="97" t="s">
        <v>289</v>
      </c>
      <c r="D15" s="110">
        <f t="shared" si="0"/>
        <v>3409090.9090909087</v>
      </c>
      <c r="E15" s="109">
        <v>3750000</v>
      </c>
    </row>
    <row r="16" spans="1:5" ht="15.75">
      <c r="A16" s="103">
        <v>10</v>
      </c>
      <c r="B16" s="96" t="s">
        <v>299</v>
      </c>
      <c r="C16" s="97" t="s">
        <v>289</v>
      </c>
      <c r="D16" s="110">
        <f t="shared" si="0"/>
        <v>3572727.2727272725</v>
      </c>
      <c r="E16" s="109">
        <v>3930000</v>
      </c>
    </row>
    <row r="17" spans="1:5" ht="15.75">
      <c r="A17" s="103">
        <v>11</v>
      </c>
      <c r="B17" s="96" t="s">
        <v>300</v>
      </c>
      <c r="C17" s="97" t="s">
        <v>289</v>
      </c>
      <c r="D17" s="110">
        <f t="shared" si="0"/>
        <v>4363636.363636363</v>
      </c>
      <c r="E17" s="109">
        <v>4800000</v>
      </c>
    </row>
    <row r="18" spans="1:5" ht="15.75">
      <c r="A18" s="103">
        <v>12</v>
      </c>
      <c r="B18" s="96" t="s">
        <v>301</v>
      </c>
      <c r="C18" s="97" t="s">
        <v>289</v>
      </c>
      <c r="D18" s="110">
        <f t="shared" si="0"/>
        <v>5318181.818181817</v>
      </c>
      <c r="E18" s="109">
        <v>5850000</v>
      </c>
    </row>
    <row r="19" spans="1:5" ht="15.75">
      <c r="A19" s="103"/>
      <c r="B19" s="96" t="s">
        <v>257</v>
      </c>
      <c r="C19" s="97" t="s">
        <v>289</v>
      </c>
      <c r="D19" s="110">
        <f t="shared" si="0"/>
        <v>6831818.181818182</v>
      </c>
      <c r="E19" s="109">
        <v>7515000</v>
      </c>
    </row>
    <row r="20" spans="1:5" ht="15.75">
      <c r="A20" s="103">
        <v>13</v>
      </c>
      <c r="B20" s="96" t="s">
        <v>302</v>
      </c>
      <c r="C20" s="97" t="s">
        <v>289</v>
      </c>
      <c r="D20" s="110">
        <f t="shared" si="0"/>
        <v>9518181.818181816</v>
      </c>
      <c r="E20" s="109">
        <v>10470000</v>
      </c>
    </row>
    <row r="21" spans="1:5" ht="15.75">
      <c r="A21" s="103">
        <v>14</v>
      </c>
      <c r="B21" s="96" t="s">
        <v>303</v>
      </c>
      <c r="C21" s="97" t="s">
        <v>289</v>
      </c>
      <c r="D21" s="110">
        <f t="shared" si="0"/>
        <v>10336363.636363635</v>
      </c>
      <c r="E21" s="109">
        <v>11370000</v>
      </c>
    </row>
    <row r="22" spans="1:5" ht="15.75">
      <c r="A22" s="103">
        <v>15</v>
      </c>
      <c r="B22" s="96" t="s">
        <v>304</v>
      </c>
      <c r="C22" s="97" t="s">
        <v>289</v>
      </c>
      <c r="D22" s="110">
        <f t="shared" si="0"/>
        <v>11654545.454545453</v>
      </c>
      <c r="E22" s="109">
        <v>12820000</v>
      </c>
    </row>
    <row r="23" spans="1:5" ht="15.75">
      <c r="A23" s="103">
        <v>16</v>
      </c>
      <c r="B23" s="96" t="s">
        <v>305</v>
      </c>
      <c r="C23" s="97" t="s">
        <v>289</v>
      </c>
      <c r="D23" s="110">
        <f t="shared" si="0"/>
        <v>10227272.727272727</v>
      </c>
      <c r="E23" s="109">
        <v>11250000</v>
      </c>
    </row>
    <row r="24" spans="1:5" ht="15.75">
      <c r="A24" s="103">
        <v>17</v>
      </c>
      <c r="B24" s="96" t="s">
        <v>306</v>
      </c>
      <c r="C24" s="97" t="s">
        <v>289</v>
      </c>
      <c r="D24" s="110">
        <f t="shared" si="0"/>
        <v>11281818.181818182</v>
      </c>
      <c r="E24" s="109">
        <v>12410000</v>
      </c>
    </row>
    <row r="25" spans="1:5" ht="15.75">
      <c r="A25" s="103">
        <v>18</v>
      </c>
      <c r="B25" s="96" t="s">
        <v>307</v>
      </c>
      <c r="C25" s="97" t="s">
        <v>289</v>
      </c>
      <c r="D25" s="110">
        <f t="shared" si="0"/>
        <v>12645454.545454545</v>
      </c>
      <c r="E25" s="109">
        <v>13910000</v>
      </c>
    </row>
    <row r="26" spans="1:5" ht="15.75">
      <c r="A26" s="103">
        <v>19</v>
      </c>
      <c r="B26" s="96" t="s">
        <v>308</v>
      </c>
      <c r="C26" s="97" t="s">
        <v>289</v>
      </c>
      <c r="D26" s="110">
        <f t="shared" si="0"/>
        <v>11981818.181818182</v>
      </c>
      <c r="E26" s="109">
        <v>13180000</v>
      </c>
    </row>
    <row r="27" spans="1:5" ht="15.75">
      <c r="A27" s="103">
        <v>20</v>
      </c>
      <c r="B27" s="96" t="s">
        <v>309</v>
      </c>
      <c r="C27" s="97" t="s">
        <v>289</v>
      </c>
      <c r="D27" s="110">
        <f t="shared" si="0"/>
        <v>12886363.636363635</v>
      </c>
      <c r="E27" s="109">
        <v>14175000</v>
      </c>
    </row>
    <row r="28" spans="1:5" ht="15.75">
      <c r="A28" s="103">
        <v>21</v>
      </c>
      <c r="B28" s="96" t="s">
        <v>310</v>
      </c>
      <c r="C28" s="97" t="s">
        <v>289</v>
      </c>
      <c r="D28" s="110">
        <f t="shared" si="0"/>
        <v>15231818.18181818</v>
      </c>
      <c r="E28" s="109">
        <v>16755000</v>
      </c>
    </row>
    <row r="29" spans="1:5" ht="15.75">
      <c r="A29" s="103">
        <v>22</v>
      </c>
      <c r="B29" s="96" t="s">
        <v>311</v>
      </c>
      <c r="C29" s="97" t="s">
        <v>289</v>
      </c>
      <c r="D29" s="110">
        <f t="shared" si="0"/>
        <v>13304545.454545453</v>
      </c>
      <c r="E29" s="109">
        <v>14635000</v>
      </c>
    </row>
    <row r="30" spans="1:5" ht="15.75">
      <c r="A30" s="103">
        <v>23</v>
      </c>
      <c r="B30" s="96" t="s">
        <v>312</v>
      </c>
      <c r="C30" s="97" t="s">
        <v>289</v>
      </c>
      <c r="D30" s="110">
        <f t="shared" si="0"/>
        <v>14513636.363636363</v>
      </c>
      <c r="E30" s="109">
        <v>15965000</v>
      </c>
    </row>
    <row r="31" spans="1:5" ht="15.75">
      <c r="A31" s="61">
        <v>24</v>
      </c>
      <c r="B31" s="98" t="s">
        <v>313</v>
      </c>
      <c r="C31" s="97" t="s">
        <v>289</v>
      </c>
      <c r="D31" s="110">
        <f t="shared" si="0"/>
        <v>16386363.636363635</v>
      </c>
      <c r="E31" s="109">
        <v>18025000</v>
      </c>
    </row>
    <row r="32" spans="1:4" ht="15.75">
      <c r="A32" s="94" t="s">
        <v>500</v>
      </c>
      <c r="B32" s="100" t="s">
        <v>314</v>
      </c>
      <c r="C32" s="97"/>
      <c r="D32" s="110"/>
    </row>
    <row r="33" spans="1:5" ht="15.75">
      <c r="A33" s="61">
        <v>1</v>
      </c>
      <c r="B33" s="96" t="s">
        <v>548</v>
      </c>
      <c r="C33" s="97" t="s">
        <v>289</v>
      </c>
      <c r="D33" s="110">
        <f t="shared" si="0"/>
        <v>445454.5454545454</v>
      </c>
      <c r="E33" s="109">
        <v>490000</v>
      </c>
    </row>
    <row r="34" spans="1:5" ht="15.75">
      <c r="A34" s="61">
        <v>2</v>
      </c>
      <c r="B34" s="96" t="s">
        <v>549</v>
      </c>
      <c r="C34" s="97" t="s">
        <v>289</v>
      </c>
      <c r="D34" s="110">
        <f t="shared" si="0"/>
        <v>499999.99999999994</v>
      </c>
      <c r="E34" s="109">
        <v>550000</v>
      </c>
    </row>
    <row r="35" spans="1:5" ht="15.75">
      <c r="A35" s="61">
        <v>3</v>
      </c>
      <c r="B35" s="98" t="s">
        <v>550</v>
      </c>
      <c r="C35" s="97" t="s">
        <v>289</v>
      </c>
      <c r="D35" s="110">
        <f t="shared" si="0"/>
        <v>550000</v>
      </c>
      <c r="E35" s="109">
        <v>605000</v>
      </c>
    </row>
    <row r="36" spans="1:4" ht="15.75">
      <c r="A36" s="94" t="s">
        <v>501</v>
      </c>
      <c r="B36" s="100" t="s">
        <v>315</v>
      </c>
      <c r="C36" s="97"/>
      <c r="D36" s="110"/>
    </row>
    <row r="37" spans="1:5" ht="15.75">
      <c r="A37" s="61">
        <v>1</v>
      </c>
      <c r="B37" s="96" t="s">
        <v>551</v>
      </c>
      <c r="C37" s="97" t="s">
        <v>289</v>
      </c>
      <c r="D37" s="110">
        <f t="shared" si="0"/>
        <v>886363.6363636362</v>
      </c>
      <c r="E37" s="109">
        <v>975000</v>
      </c>
    </row>
    <row r="38" spans="1:5" ht="15.75">
      <c r="A38" s="61">
        <v>2</v>
      </c>
      <c r="B38" s="96" t="s">
        <v>552</v>
      </c>
      <c r="C38" s="97" t="s">
        <v>289</v>
      </c>
      <c r="D38" s="110">
        <f t="shared" si="0"/>
        <v>1050000</v>
      </c>
      <c r="E38" s="109">
        <v>1155000</v>
      </c>
    </row>
    <row r="39" spans="1:5" ht="15.75">
      <c r="A39" s="61">
        <v>3</v>
      </c>
      <c r="B39" s="96" t="s">
        <v>553</v>
      </c>
      <c r="C39" s="97" t="s">
        <v>289</v>
      </c>
      <c r="D39" s="110">
        <f t="shared" si="0"/>
        <v>1077272.7272727273</v>
      </c>
      <c r="E39" s="109">
        <v>1185000</v>
      </c>
    </row>
    <row r="40" spans="1:5" ht="15.75">
      <c r="A40" s="61">
        <v>4</v>
      </c>
      <c r="B40" s="96" t="s">
        <v>316</v>
      </c>
      <c r="C40" s="97" t="s">
        <v>289</v>
      </c>
      <c r="D40" s="110">
        <f t="shared" si="0"/>
        <v>972727.2727272727</v>
      </c>
      <c r="E40" s="109">
        <v>1070000</v>
      </c>
    </row>
    <row r="41" spans="1:5" ht="15.75">
      <c r="A41" s="61">
        <v>5</v>
      </c>
      <c r="B41" s="96" t="s">
        <v>317</v>
      </c>
      <c r="C41" s="97" t="s">
        <v>289</v>
      </c>
      <c r="D41" s="110">
        <f t="shared" si="0"/>
        <v>1218181.8181818181</v>
      </c>
      <c r="E41" s="109">
        <v>1340000</v>
      </c>
    </row>
    <row r="42" spans="1:5" ht="15.75">
      <c r="A42" s="61">
        <v>6</v>
      </c>
      <c r="B42" s="96" t="s">
        <v>318</v>
      </c>
      <c r="C42" s="97" t="s">
        <v>289</v>
      </c>
      <c r="D42" s="110">
        <f t="shared" si="0"/>
        <v>1240909.0909090908</v>
      </c>
      <c r="E42" s="109">
        <v>1365000</v>
      </c>
    </row>
    <row r="43" spans="1:5" ht="15.75">
      <c r="A43" s="61">
        <v>7</v>
      </c>
      <c r="B43" s="96" t="s">
        <v>554</v>
      </c>
      <c r="C43" s="97" t="s">
        <v>289</v>
      </c>
      <c r="D43" s="110">
        <f t="shared" si="0"/>
        <v>1063636.3636363635</v>
      </c>
      <c r="E43" s="109">
        <v>1170000</v>
      </c>
    </row>
    <row r="44" spans="1:5" ht="15.75">
      <c r="A44" s="61">
        <v>8</v>
      </c>
      <c r="B44" s="96" t="s">
        <v>555</v>
      </c>
      <c r="C44" s="97" t="s">
        <v>289</v>
      </c>
      <c r="D44" s="110">
        <f t="shared" si="0"/>
        <v>1250000</v>
      </c>
      <c r="E44" s="109">
        <v>1375000</v>
      </c>
    </row>
    <row r="45" spans="1:5" ht="15.75">
      <c r="A45" s="61">
        <v>9</v>
      </c>
      <c r="B45" s="96" t="s">
        <v>556</v>
      </c>
      <c r="C45" s="97" t="s">
        <v>289</v>
      </c>
      <c r="D45" s="110">
        <f t="shared" si="0"/>
        <v>1290909.0909090908</v>
      </c>
      <c r="E45" s="109">
        <v>1420000</v>
      </c>
    </row>
    <row r="46" spans="1:5" ht="15.75">
      <c r="A46" s="61">
        <v>10</v>
      </c>
      <c r="B46" s="96" t="s">
        <v>319</v>
      </c>
      <c r="C46" s="97" t="s">
        <v>289</v>
      </c>
      <c r="D46" s="110">
        <f t="shared" si="0"/>
        <v>1100000</v>
      </c>
      <c r="E46" s="109">
        <v>1210000</v>
      </c>
    </row>
    <row r="47" spans="1:5" ht="15.75">
      <c r="A47" s="61">
        <v>11</v>
      </c>
      <c r="B47" s="96" t="s">
        <v>320</v>
      </c>
      <c r="C47" s="97" t="s">
        <v>289</v>
      </c>
      <c r="D47" s="110">
        <f t="shared" si="0"/>
        <v>1286363.6363636362</v>
      </c>
      <c r="E47" s="109">
        <v>1415000</v>
      </c>
    </row>
    <row r="48" spans="1:5" ht="15.75">
      <c r="A48" s="61">
        <v>12</v>
      </c>
      <c r="B48" s="96" t="s">
        <v>321</v>
      </c>
      <c r="C48" s="97" t="s">
        <v>289</v>
      </c>
      <c r="D48" s="110">
        <f t="shared" si="0"/>
        <v>1409090.909090909</v>
      </c>
      <c r="E48" s="109">
        <v>1550000</v>
      </c>
    </row>
    <row r="49" spans="1:5" ht="15.75">
      <c r="A49" s="61">
        <v>13</v>
      </c>
      <c r="B49" s="96" t="s">
        <v>557</v>
      </c>
      <c r="C49" s="97" t="s">
        <v>289</v>
      </c>
      <c r="D49" s="110">
        <f t="shared" si="0"/>
        <v>1259090.909090909</v>
      </c>
      <c r="E49" s="109">
        <v>1385000</v>
      </c>
    </row>
    <row r="50" spans="1:5" ht="15.75">
      <c r="A50" s="61">
        <v>14</v>
      </c>
      <c r="B50" s="96" t="s">
        <v>558</v>
      </c>
      <c r="C50" s="97" t="s">
        <v>289</v>
      </c>
      <c r="D50" s="110">
        <f t="shared" si="0"/>
        <v>1436363.6363636362</v>
      </c>
      <c r="E50" s="109">
        <v>1580000</v>
      </c>
    </row>
    <row r="51" spans="1:5" ht="15.75">
      <c r="A51" s="61">
        <v>15</v>
      </c>
      <c r="B51" s="96" t="s">
        <v>559</v>
      </c>
      <c r="C51" s="97" t="s">
        <v>289</v>
      </c>
      <c r="D51" s="110">
        <f t="shared" si="0"/>
        <v>1640909.0909090908</v>
      </c>
      <c r="E51" s="109">
        <v>1805000</v>
      </c>
    </row>
    <row r="52" spans="1:5" ht="15.75">
      <c r="A52" s="61">
        <v>16</v>
      </c>
      <c r="B52" s="96" t="s">
        <v>322</v>
      </c>
      <c r="C52" s="97" t="s">
        <v>289</v>
      </c>
      <c r="D52" s="110">
        <f t="shared" si="0"/>
        <v>1272727.2727272727</v>
      </c>
      <c r="E52" s="109">
        <v>1400000</v>
      </c>
    </row>
    <row r="53" spans="1:5" ht="15.75">
      <c r="A53" s="61">
        <v>17</v>
      </c>
      <c r="B53" s="96" t="s">
        <v>323</v>
      </c>
      <c r="C53" s="97" t="s">
        <v>289</v>
      </c>
      <c r="D53" s="110">
        <f t="shared" si="0"/>
        <v>1499999.9999999998</v>
      </c>
      <c r="E53" s="109">
        <v>1650000</v>
      </c>
    </row>
    <row r="54" spans="1:5" ht="15.75">
      <c r="A54" s="61">
        <v>18</v>
      </c>
      <c r="B54" s="98" t="s">
        <v>324</v>
      </c>
      <c r="C54" s="97" t="s">
        <v>289</v>
      </c>
      <c r="D54" s="110">
        <f t="shared" si="0"/>
        <v>1686363.6363636362</v>
      </c>
      <c r="E54" s="109">
        <v>1855000</v>
      </c>
    </row>
    <row r="55" spans="1:4" ht="15.75">
      <c r="A55" s="101" t="s">
        <v>503</v>
      </c>
      <c r="B55" s="100" t="s">
        <v>325</v>
      </c>
      <c r="C55" s="97"/>
      <c r="D55" s="110"/>
    </row>
    <row r="56" spans="1:5" ht="15.75">
      <c r="A56" s="103">
        <v>1</v>
      </c>
      <c r="B56" s="96" t="s">
        <v>326</v>
      </c>
      <c r="C56" s="97" t="s">
        <v>327</v>
      </c>
      <c r="D56" s="110">
        <f t="shared" si="0"/>
        <v>145454.54545454544</v>
      </c>
      <c r="E56" s="109">
        <v>160000</v>
      </c>
    </row>
    <row r="57" spans="1:5" ht="15.75">
      <c r="A57" s="103">
        <v>2</v>
      </c>
      <c r="B57" s="96" t="s">
        <v>328</v>
      </c>
      <c r="C57" s="97" t="s">
        <v>327</v>
      </c>
      <c r="D57" s="110">
        <f t="shared" si="0"/>
        <v>154545.45454545453</v>
      </c>
      <c r="E57" s="109">
        <v>170000</v>
      </c>
    </row>
    <row r="58" spans="1:5" ht="15.75">
      <c r="A58" s="103">
        <v>3</v>
      </c>
      <c r="B58" s="96" t="s">
        <v>329</v>
      </c>
      <c r="C58" s="97" t="s">
        <v>327</v>
      </c>
      <c r="D58" s="110">
        <f t="shared" si="0"/>
        <v>172727.2727272727</v>
      </c>
      <c r="E58" s="109">
        <v>190000</v>
      </c>
    </row>
    <row r="59" spans="1:5" ht="15.75">
      <c r="A59" s="103">
        <v>4</v>
      </c>
      <c r="B59" s="96" t="s">
        <v>330</v>
      </c>
      <c r="C59" s="97" t="s">
        <v>327</v>
      </c>
      <c r="D59" s="110">
        <f t="shared" si="0"/>
        <v>190909.09090909088</v>
      </c>
      <c r="E59" s="109">
        <v>210000</v>
      </c>
    </row>
    <row r="60" spans="1:5" ht="15.75">
      <c r="A60" s="103">
        <v>5</v>
      </c>
      <c r="B60" s="96" t="s">
        <v>331</v>
      </c>
      <c r="C60" s="97" t="s">
        <v>327</v>
      </c>
      <c r="D60" s="110">
        <f t="shared" si="0"/>
        <v>204545.45454545453</v>
      </c>
      <c r="E60" s="109">
        <v>225000</v>
      </c>
    </row>
    <row r="61" spans="1:5" ht="15.75">
      <c r="A61" s="103">
        <v>6</v>
      </c>
      <c r="B61" s="96" t="s">
        <v>332</v>
      </c>
      <c r="C61" s="97" t="s">
        <v>327</v>
      </c>
      <c r="D61" s="110">
        <f t="shared" si="0"/>
        <v>218181.81818181818</v>
      </c>
      <c r="E61" s="109">
        <v>240000</v>
      </c>
    </row>
    <row r="62" spans="1:5" ht="15.75">
      <c r="A62" s="103">
        <v>7</v>
      </c>
      <c r="B62" s="96" t="s">
        <v>333</v>
      </c>
      <c r="C62" s="97" t="s">
        <v>327</v>
      </c>
      <c r="D62" s="110">
        <f t="shared" si="0"/>
        <v>295454.5454545454</v>
      </c>
      <c r="E62" s="109">
        <v>325000</v>
      </c>
    </row>
    <row r="63" spans="1:5" ht="15.75">
      <c r="A63" s="103">
        <v>8</v>
      </c>
      <c r="B63" s="96" t="s">
        <v>334</v>
      </c>
      <c r="C63" s="97" t="s">
        <v>327</v>
      </c>
      <c r="D63" s="110">
        <f t="shared" si="0"/>
        <v>331818.18181818177</v>
      </c>
      <c r="E63" s="109">
        <v>365000</v>
      </c>
    </row>
    <row r="64" spans="1:5" ht="15.75">
      <c r="A64" s="103">
        <v>9</v>
      </c>
      <c r="B64" s="96" t="s">
        <v>335</v>
      </c>
      <c r="C64" s="97" t="s">
        <v>327</v>
      </c>
      <c r="D64" s="110">
        <f t="shared" si="0"/>
        <v>354545.45454545453</v>
      </c>
      <c r="E64" s="109">
        <v>390000</v>
      </c>
    </row>
    <row r="65" spans="1:5" ht="15.75">
      <c r="A65" s="103">
        <v>10</v>
      </c>
      <c r="B65" s="98" t="s">
        <v>336</v>
      </c>
      <c r="C65" s="97" t="s">
        <v>327</v>
      </c>
      <c r="D65" s="110">
        <f t="shared" si="0"/>
        <v>409090.90909090906</v>
      </c>
      <c r="E65" s="109">
        <v>450000</v>
      </c>
    </row>
    <row r="66" spans="1:5" ht="15.75">
      <c r="A66" s="103">
        <v>7</v>
      </c>
      <c r="B66" s="96" t="s">
        <v>567</v>
      </c>
      <c r="C66" s="97" t="s">
        <v>327</v>
      </c>
      <c r="D66" s="110">
        <f>E66/1.1</f>
        <v>627272.7272727272</v>
      </c>
      <c r="E66" s="109">
        <v>690000</v>
      </c>
    </row>
    <row r="67" spans="1:5" ht="15.75">
      <c r="A67" s="103">
        <v>8</v>
      </c>
      <c r="B67" s="96" t="s">
        <v>568</v>
      </c>
      <c r="C67" s="97" t="s">
        <v>327</v>
      </c>
      <c r="D67" s="110">
        <f>E67/1.1</f>
        <v>713636.3636363635</v>
      </c>
      <c r="E67" s="109">
        <v>785000</v>
      </c>
    </row>
    <row r="68" spans="1:5" ht="15.75">
      <c r="A68" s="103">
        <v>9</v>
      </c>
      <c r="B68" s="96" t="s">
        <v>569</v>
      </c>
      <c r="C68" s="97" t="s">
        <v>327</v>
      </c>
      <c r="D68" s="110">
        <f>E68/1.1</f>
        <v>804545.4545454545</v>
      </c>
      <c r="E68" s="109">
        <v>885000</v>
      </c>
    </row>
    <row r="69" spans="1:4" ht="15.75">
      <c r="A69" s="101" t="s">
        <v>504</v>
      </c>
      <c r="B69" s="100" t="s">
        <v>224</v>
      </c>
      <c r="C69" s="97"/>
      <c r="D69" s="110"/>
    </row>
    <row r="70" spans="1:5" ht="15.75">
      <c r="A70" s="103">
        <v>1</v>
      </c>
      <c r="B70" s="96" t="s">
        <v>337</v>
      </c>
      <c r="C70" s="97" t="s">
        <v>327</v>
      </c>
      <c r="D70" s="110">
        <f t="shared" si="0"/>
        <v>254545.45454545453</v>
      </c>
      <c r="E70" s="109">
        <v>280000</v>
      </c>
    </row>
    <row r="71" spans="1:5" ht="15.75">
      <c r="A71" s="103">
        <v>2</v>
      </c>
      <c r="B71" s="96" t="s">
        <v>338</v>
      </c>
      <c r="C71" s="97" t="s">
        <v>327</v>
      </c>
      <c r="D71" s="110">
        <f t="shared" si="0"/>
        <v>309090.90909090906</v>
      </c>
      <c r="E71" s="109">
        <v>340000</v>
      </c>
    </row>
    <row r="72" spans="1:5" ht="15.75">
      <c r="A72" s="103">
        <v>3</v>
      </c>
      <c r="B72" s="96" t="s">
        <v>339</v>
      </c>
      <c r="C72" s="97" t="s">
        <v>327</v>
      </c>
      <c r="D72" s="110">
        <f t="shared" si="0"/>
        <v>336363.63636363635</v>
      </c>
      <c r="E72" s="109">
        <v>370000</v>
      </c>
    </row>
    <row r="73" spans="1:5" ht="15.75">
      <c r="A73" s="103">
        <v>4</v>
      </c>
      <c r="B73" s="96" t="s">
        <v>340</v>
      </c>
      <c r="C73" s="97" t="s">
        <v>327</v>
      </c>
      <c r="D73" s="110">
        <f t="shared" si="0"/>
        <v>354545.45454545453</v>
      </c>
      <c r="E73" s="109">
        <v>390000</v>
      </c>
    </row>
    <row r="74" spans="1:5" ht="15.75">
      <c r="A74" s="103">
        <v>5</v>
      </c>
      <c r="B74" s="96" t="s">
        <v>341</v>
      </c>
      <c r="C74" s="97" t="s">
        <v>327</v>
      </c>
      <c r="D74" s="110">
        <f t="shared" si="0"/>
        <v>590909.0909090908</v>
      </c>
      <c r="E74" s="109">
        <v>650000</v>
      </c>
    </row>
    <row r="75" spans="1:5" ht="15.75">
      <c r="A75" s="103">
        <v>6</v>
      </c>
      <c r="B75" s="96" t="s">
        <v>342</v>
      </c>
      <c r="C75" s="97" t="s">
        <v>327</v>
      </c>
      <c r="D75" s="110">
        <f t="shared" si="0"/>
        <v>654545.4545454545</v>
      </c>
      <c r="E75" s="109">
        <v>720000</v>
      </c>
    </row>
    <row r="76" spans="1:5" ht="15.75">
      <c r="A76" s="103">
        <v>7</v>
      </c>
      <c r="B76" s="96" t="s">
        <v>343</v>
      </c>
      <c r="C76" s="97" t="s">
        <v>327</v>
      </c>
      <c r="D76" s="110">
        <f t="shared" si="0"/>
        <v>736363.6363636364</v>
      </c>
      <c r="E76" s="109">
        <v>810000</v>
      </c>
    </row>
    <row r="77" spans="1:5" ht="15.75">
      <c r="A77" s="103">
        <v>9</v>
      </c>
      <c r="B77" s="96" t="s">
        <v>344</v>
      </c>
      <c r="C77" s="97" t="s">
        <v>327</v>
      </c>
      <c r="D77" s="110">
        <f t="shared" si="0"/>
        <v>640909.0909090908</v>
      </c>
      <c r="E77" s="109">
        <v>705000</v>
      </c>
    </row>
    <row r="78" spans="1:5" ht="15.75">
      <c r="A78" s="103">
        <v>10</v>
      </c>
      <c r="B78" s="96" t="s">
        <v>345</v>
      </c>
      <c r="C78" s="97" t="s">
        <v>327</v>
      </c>
      <c r="D78" s="110">
        <f aca="true" t="shared" si="1" ref="D78:D150">E78/1.1</f>
        <v>704545.4545454545</v>
      </c>
      <c r="E78" s="109">
        <v>775000</v>
      </c>
    </row>
    <row r="79" spans="1:5" ht="15.75">
      <c r="A79" s="103">
        <v>11</v>
      </c>
      <c r="B79" s="96" t="s">
        <v>346</v>
      </c>
      <c r="C79" s="97" t="s">
        <v>327</v>
      </c>
      <c r="D79" s="110">
        <f t="shared" si="1"/>
        <v>777272.7272727272</v>
      </c>
      <c r="E79" s="109">
        <v>855000</v>
      </c>
    </row>
    <row r="80" spans="1:5" ht="15.75">
      <c r="A80" s="103">
        <v>12</v>
      </c>
      <c r="B80" s="96" t="s">
        <v>347</v>
      </c>
      <c r="C80" s="97" t="s">
        <v>327</v>
      </c>
      <c r="D80" s="110">
        <f t="shared" si="1"/>
        <v>799999.9999999999</v>
      </c>
      <c r="E80" s="109">
        <v>880000</v>
      </c>
    </row>
    <row r="81" spans="1:5" ht="15.75">
      <c r="A81" s="103">
        <v>13</v>
      </c>
      <c r="B81" s="96" t="s">
        <v>348</v>
      </c>
      <c r="C81" s="97" t="s">
        <v>327</v>
      </c>
      <c r="D81" s="110">
        <f t="shared" si="1"/>
        <v>818181.8181818181</v>
      </c>
      <c r="E81" s="109">
        <v>900000</v>
      </c>
    </row>
    <row r="82" spans="1:5" ht="15.75">
      <c r="A82" s="103">
        <v>14</v>
      </c>
      <c r="B82" s="96" t="s">
        <v>349</v>
      </c>
      <c r="C82" s="97" t="s">
        <v>327</v>
      </c>
      <c r="D82" s="110">
        <f t="shared" si="1"/>
        <v>936363.6363636362</v>
      </c>
      <c r="E82" s="109">
        <v>1030000</v>
      </c>
    </row>
    <row r="83" spans="1:5" ht="15.75">
      <c r="A83" s="103">
        <v>15</v>
      </c>
      <c r="B83" s="96" t="s">
        <v>350</v>
      </c>
      <c r="C83" s="97" t="s">
        <v>327</v>
      </c>
      <c r="D83" s="110">
        <f t="shared" si="1"/>
        <v>1118181.8181818181</v>
      </c>
      <c r="E83" s="109">
        <v>1230000</v>
      </c>
    </row>
    <row r="84" spans="1:4" ht="15.75">
      <c r="A84" s="101" t="s">
        <v>505</v>
      </c>
      <c r="B84" s="100" t="s">
        <v>351</v>
      </c>
      <c r="C84" s="97"/>
      <c r="D84" s="110"/>
    </row>
    <row r="85" spans="1:5" ht="15.75">
      <c r="A85" s="103">
        <v>1</v>
      </c>
      <c r="B85" s="96" t="s">
        <v>352</v>
      </c>
      <c r="C85" s="97" t="s">
        <v>327</v>
      </c>
      <c r="D85" s="110">
        <f>E85/1.1</f>
        <v>63636.36363636363</v>
      </c>
      <c r="E85" s="109">
        <v>70000</v>
      </c>
    </row>
    <row r="86" spans="1:5" ht="15.75">
      <c r="A86" s="103">
        <v>2</v>
      </c>
      <c r="B86" s="96" t="s">
        <v>353</v>
      </c>
      <c r="C86" s="97" t="s">
        <v>327</v>
      </c>
      <c r="D86" s="110">
        <f t="shared" si="1"/>
        <v>77272.72727272726</v>
      </c>
      <c r="E86" s="109">
        <v>85000</v>
      </c>
    </row>
    <row r="87" spans="1:5" ht="15.75">
      <c r="A87" s="103">
        <v>3</v>
      </c>
      <c r="B87" s="96" t="s">
        <v>354</v>
      </c>
      <c r="C87" s="97" t="s">
        <v>327</v>
      </c>
      <c r="D87" s="110">
        <f t="shared" si="1"/>
        <v>113636.36363636363</v>
      </c>
      <c r="E87" s="109">
        <v>125000</v>
      </c>
    </row>
    <row r="88" spans="1:5" ht="15.75">
      <c r="A88" s="103">
        <v>4</v>
      </c>
      <c r="B88" s="98" t="s">
        <v>355</v>
      </c>
      <c r="C88" s="97" t="s">
        <v>327</v>
      </c>
      <c r="D88" s="110">
        <f t="shared" si="1"/>
        <v>195454.54545454544</v>
      </c>
      <c r="E88" s="109">
        <v>215000</v>
      </c>
    </row>
    <row r="89" spans="1:4" ht="15.75">
      <c r="A89" s="101" t="s">
        <v>506</v>
      </c>
      <c r="B89" s="100" t="s">
        <v>356</v>
      </c>
      <c r="C89" s="97"/>
      <c r="D89" s="110"/>
    </row>
    <row r="90" spans="1:5" ht="15.75">
      <c r="A90" s="103">
        <v>1</v>
      </c>
      <c r="B90" s="96" t="s">
        <v>352</v>
      </c>
      <c r="C90" s="97" t="s">
        <v>327</v>
      </c>
      <c r="D90" s="110">
        <f t="shared" si="1"/>
        <v>99999.99999999999</v>
      </c>
      <c r="E90" s="109">
        <v>110000</v>
      </c>
    </row>
    <row r="91" spans="1:5" ht="15.75">
      <c r="A91" s="103">
        <v>2</v>
      </c>
      <c r="B91" s="96" t="s">
        <v>353</v>
      </c>
      <c r="C91" s="97" t="s">
        <v>327</v>
      </c>
      <c r="D91" s="110">
        <f t="shared" si="1"/>
        <v>131818.1818181818</v>
      </c>
      <c r="E91" s="109">
        <v>145000</v>
      </c>
    </row>
    <row r="92" spans="1:5" ht="15.75">
      <c r="A92" s="103">
        <v>3</v>
      </c>
      <c r="B92" s="96" t="s">
        <v>354</v>
      </c>
      <c r="C92" s="97" t="s">
        <v>327</v>
      </c>
      <c r="D92" s="110">
        <f t="shared" si="1"/>
        <v>222727.2727272727</v>
      </c>
      <c r="E92" s="109">
        <v>245000</v>
      </c>
    </row>
    <row r="93" spans="1:5" ht="15.75">
      <c r="A93" s="103">
        <v>4</v>
      </c>
      <c r="B93" s="96" t="s">
        <v>355</v>
      </c>
      <c r="C93" s="97" t="s">
        <v>327</v>
      </c>
      <c r="D93" s="110">
        <f t="shared" si="1"/>
        <v>327272.72727272724</v>
      </c>
      <c r="E93" s="109">
        <v>360000</v>
      </c>
    </row>
    <row r="94" spans="1:5" ht="15.75">
      <c r="A94" s="103">
        <v>5</v>
      </c>
      <c r="B94" s="96" t="s">
        <v>560</v>
      </c>
      <c r="C94" s="97" t="s">
        <v>327</v>
      </c>
      <c r="D94" s="110">
        <f t="shared" si="1"/>
        <v>572727.2727272727</v>
      </c>
      <c r="E94" s="109">
        <v>630000</v>
      </c>
    </row>
    <row r="95" spans="1:5" ht="15.75">
      <c r="A95" s="103">
        <v>6</v>
      </c>
      <c r="B95" s="96" t="s">
        <v>561</v>
      </c>
      <c r="C95" s="97" t="s">
        <v>327</v>
      </c>
      <c r="D95" s="110">
        <f t="shared" si="1"/>
        <v>799999.9999999999</v>
      </c>
      <c r="E95" s="109">
        <v>880000</v>
      </c>
    </row>
    <row r="96" spans="1:5" ht="15.75">
      <c r="A96" s="103"/>
      <c r="B96" s="96" t="s">
        <v>562</v>
      </c>
      <c r="C96" s="97" t="s">
        <v>327</v>
      </c>
      <c r="D96" s="110">
        <f t="shared" si="1"/>
        <v>1363636.3636363635</v>
      </c>
      <c r="E96" s="109">
        <v>1500000</v>
      </c>
    </row>
    <row r="97" spans="1:5" ht="15.75">
      <c r="A97" s="103"/>
      <c r="B97" s="96" t="s">
        <v>357</v>
      </c>
      <c r="C97" s="97" t="s">
        <v>327</v>
      </c>
      <c r="D97" s="110">
        <f t="shared" si="1"/>
        <v>1427272.727272727</v>
      </c>
      <c r="E97" s="109">
        <v>1570000</v>
      </c>
    </row>
    <row r="98" spans="1:5" ht="15.75">
      <c r="A98" s="103"/>
      <c r="B98" s="96" t="s">
        <v>563</v>
      </c>
      <c r="C98" s="97" t="s">
        <v>327</v>
      </c>
      <c r="D98" s="110">
        <f t="shared" si="1"/>
        <v>1504545.4545454544</v>
      </c>
      <c r="E98" s="109">
        <v>1655000</v>
      </c>
    </row>
    <row r="99" spans="1:5" ht="15.75">
      <c r="A99" s="103">
        <v>8</v>
      </c>
      <c r="B99" s="96" t="s">
        <v>358</v>
      </c>
      <c r="C99" s="97" t="s">
        <v>327</v>
      </c>
      <c r="D99" s="110">
        <f t="shared" si="1"/>
        <v>1481818.1818181816</v>
      </c>
      <c r="E99" s="109">
        <v>1630000</v>
      </c>
    </row>
    <row r="100" spans="1:5" ht="15.75">
      <c r="A100" s="103">
        <v>9</v>
      </c>
      <c r="B100" s="96" t="s">
        <v>359</v>
      </c>
      <c r="C100" s="97" t="s">
        <v>327</v>
      </c>
      <c r="D100" s="110">
        <f t="shared" si="1"/>
        <v>1568181.8181818181</v>
      </c>
      <c r="E100" s="109">
        <v>1725000</v>
      </c>
    </row>
    <row r="101" spans="1:5" ht="15.75">
      <c r="A101" s="103">
        <v>10</v>
      </c>
      <c r="B101" s="96" t="s">
        <v>360</v>
      </c>
      <c r="C101" s="97" t="s">
        <v>327</v>
      </c>
      <c r="D101" s="110">
        <f t="shared" si="1"/>
        <v>1640909.0909090908</v>
      </c>
      <c r="E101" s="109">
        <v>1805000</v>
      </c>
    </row>
    <row r="102" spans="1:5" ht="15.75">
      <c r="A102" s="103">
        <v>11</v>
      </c>
      <c r="B102" s="96" t="s">
        <v>361</v>
      </c>
      <c r="C102" s="97" t="s">
        <v>327</v>
      </c>
      <c r="D102" s="110">
        <f t="shared" si="1"/>
        <v>1718181.8181818181</v>
      </c>
      <c r="E102" s="109">
        <v>1890000</v>
      </c>
    </row>
    <row r="103" spans="1:5" ht="15.75">
      <c r="A103" s="103">
        <v>12</v>
      </c>
      <c r="B103" s="96" t="s">
        <v>570</v>
      </c>
      <c r="C103" s="97" t="s">
        <v>327</v>
      </c>
      <c r="D103" s="110">
        <f t="shared" si="1"/>
        <v>1813636.3636363635</v>
      </c>
      <c r="E103" s="109">
        <v>1995000</v>
      </c>
    </row>
    <row r="104" spans="1:5" ht="15.75">
      <c r="A104" s="103">
        <v>13</v>
      </c>
      <c r="B104" s="96" t="s">
        <v>571</v>
      </c>
      <c r="C104" s="97" t="s">
        <v>327</v>
      </c>
      <c r="D104" s="110">
        <f t="shared" si="1"/>
        <v>1890909.0909090908</v>
      </c>
      <c r="E104" s="109">
        <v>2080000</v>
      </c>
    </row>
    <row r="105" spans="1:5" ht="15.75">
      <c r="A105" s="103">
        <v>14</v>
      </c>
      <c r="B105" s="96" t="s">
        <v>572</v>
      </c>
      <c r="C105" s="97" t="s">
        <v>327</v>
      </c>
      <c r="D105" s="110">
        <f t="shared" si="1"/>
        <v>2009090.909090909</v>
      </c>
      <c r="E105" s="109">
        <v>2210000</v>
      </c>
    </row>
    <row r="106" spans="1:5" ht="15.75">
      <c r="A106" s="103">
        <v>15</v>
      </c>
      <c r="B106" s="96" t="s">
        <v>573</v>
      </c>
      <c r="C106" s="97" t="s">
        <v>327</v>
      </c>
      <c r="D106" s="110">
        <f t="shared" si="1"/>
        <v>2509090.9090909087</v>
      </c>
      <c r="E106" s="109">
        <v>2760000</v>
      </c>
    </row>
    <row r="107" spans="1:5" ht="15.75">
      <c r="A107" s="103">
        <v>12</v>
      </c>
      <c r="B107" s="96" t="s">
        <v>574</v>
      </c>
      <c r="C107" s="97" t="s">
        <v>327</v>
      </c>
      <c r="D107" s="110">
        <f>E107/1.1</f>
        <v>1995454.5454545452</v>
      </c>
      <c r="E107" s="109">
        <v>2195000</v>
      </c>
    </row>
    <row r="108" spans="1:5" ht="15.75">
      <c r="A108" s="103">
        <v>13</v>
      </c>
      <c r="B108" s="96" t="s">
        <v>575</v>
      </c>
      <c r="C108" s="97" t="s">
        <v>327</v>
      </c>
      <c r="D108" s="110">
        <f>E108/1.1</f>
        <v>2072727.2727272725</v>
      </c>
      <c r="E108" s="109">
        <v>2280000</v>
      </c>
    </row>
    <row r="109" spans="1:5" ht="15.75">
      <c r="A109" s="103">
        <v>14</v>
      </c>
      <c r="B109" s="96" t="s">
        <v>576</v>
      </c>
      <c r="C109" s="97" t="s">
        <v>327</v>
      </c>
      <c r="D109" s="110">
        <f>E109/1.1</f>
        <v>2222727.2727272725</v>
      </c>
      <c r="E109" s="109">
        <v>2445000</v>
      </c>
    </row>
    <row r="110" spans="1:5" ht="15.75">
      <c r="A110" s="103">
        <v>15</v>
      </c>
      <c r="B110" s="96" t="s">
        <v>577</v>
      </c>
      <c r="C110" s="97" t="s">
        <v>327</v>
      </c>
      <c r="D110" s="110">
        <f>E110/1.1</f>
        <v>2695454.5454545454</v>
      </c>
      <c r="E110" s="109">
        <v>2965000</v>
      </c>
    </row>
    <row r="111" spans="1:5" ht="15.75">
      <c r="A111" s="103">
        <v>16</v>
      </c>
      <c r="B111" s="98" t="s">
        <v>364</v>
      </c>
      <c r="C111" s="97" t="s">
        <v>327</v>
      </c>
      <c r="D111" s="110">
        <f t="shared" si="1"/>
        <v>7027272.727272727</v>
      </c>
      <c r="E111" s="109">
        <v>7730000</v>
      </c>
    </row>
    <row r="112" spans="1:4" ht="15.75">
      <c r="A112" s="101" t="s">
        <v>507</v>
      </c>
      <c r="B112" s="100" t="s">
        <v>579</v>
      </c>
      <c r="C112" s="97"/>
      <c r="D112" s="110"/>
    </row>
    <row r="113" spans="1:5" ht="15.75">
      <c r="A113" s="103">
        <v>1</v>
      </c>
      <c r="B113" s="98" t="s">
        <v>580</v>
      </c>
      <c r="C113" s="97" t="s">
        <v>588</v>
      </c>
      <c r="D113" s="110">
        <f t="shared" si="1"/>
        <v>72727.27272727272</v>
      </c>
      <c r="E113" s="109">
        <v>80000</v>
      </c>
    </row>
    <row r="114" spans="1:5" ht="15.75">
      <c r="A114" s="103">
        <v>2</v>
      </c>
      <c r="B114" s="98" t="s">
        <v>581</v>
      </c>
      <c r="C114" s="97" t="s">
        <v>588</v>
      </c>
      <c r="D114" s="110">
        <f t="shared" si="1"/>
        <v>86363.63636363635</v>
      </c>
      <c r="E114" s="109">
        <v>95000</v>
      </c>
    </row>
    <row r="115" spans="1:5" ht="15.75">
      <c r="A115" s="103">
        <v>3</v>
      </c>
      <c r="B115" s="98" t="s">
        <v>582</v>
      </c>
      <c r="C115" s="97" t="s">
        <v>588</v>
      </c>
      <c r="D115" s="110">
        <f t="shared" si="1"/>
        <v>109090.90909090909</v>
      </c>
      <c r="E115" s="109">
        <v>120000</v>
      </c>
    </row>
    <row r="116" spans="1:5" ht="15.75">
      <c r="A116" s="103">
        <v>4</v>
      </c>
      <c r="B116" s="98" t="s">
        <v>583</v>
      </c>
      <c r="C116" s="97" t="s">
        <v>588</v>
      </c>
      <c r="D116" s="110">
        <f t="shared" si="1"/>
        <v>140909.0909090909</v>
      </c>
      <c r="E116" s="109">
        <v>155000</v>
      </c>
    </row>
    <row r="117" spans="1:5" ht="15.75">
      <c r="A117" s="103">
        <v>5</v>
      </c>
      <c r="B117" s="98" t="s">
        <v>584</v>
      </c>
      <c r="C117" s="97" t="s">
        <v>588</v>
      </c>
      <c r="D117" s="110">
        <f t="shared" si="1"/>
        <v>186363.63636363635</v>
      </c>
      <c r="E117" s="109">
        <v>205000</v>
      </c>
    </row>
    <row r="118" spans="1:5" ht="15.75">
      <c r="A118" s="103">
        <v>6</v>
      </c>
      <c r="B118" s="98" t="s">
        <v>585</v>
      </c>
      <c r="C118" s="97" t="s">
        <v>588</v>
      </c>
      <c r="D118" s="110">
        <f t="shared" si="1"/>
        <v>295454.5454545454</v>
      </c>
      <c r="E118" s="109">
        <v>325000</v>
      </c>
    </row>
    <row r="119" spans="1:5" ht="15.75">
      <c r="A119" s="103">
        <v>7</v>
      </c>
      <c r="B119" s="98" t="s">
        <v>586</v>
      </c>
      <c r="C119" s="97" t="s">
        <v>588</v>
      </c>
      <c r="D119" s="110">
        <f t="shared" si="1"/>
        <v>313636.3636363636</v>
      </c>
      <c r="E119" s="109">
        <v>345000</v>
      </c>
    </row>
    <row r="120" spans="1:4" ht="15.75">
      <c r="A120" s="101" t="s">
        <v>508</v>
      </c>
      <c r="B120" s="100" t="s">
        <v>365</v>
      </c>
      <c r="C120" s="97"/>
      <c r="D120" s="110"/>
    </row>
    <row r="121" spans="1:5" ht="15.75">
      <c r="A121" s="103">
        <v>1</v>
      </c>
      <c r="B121" s="96" t="s">
        <v>462</v>
      </c>
      <c r="C121" s="97" t="s">
        <v>259</v>
      </c>
      <c r="D121" s="110">
        <f t="shared" si="1"/>
        <v>495454.5454545454</v>
      </c>
      <c r="E121" s="109">
        <v>545000</v>
      </c>
    </row>
    <row r="122" spans="1:5" ht="15.75">
      <c r="A122" s="103">
        <v>2</v>
      </c>
      <c r="B122" s="96" t="s">
        <v>464</v>
      </c>
      <c r="C122" s="97" t="s">
        <v>259</v>
      </c>
      <c r="D122" s="110">
        <f t="shared" si="1"/>
        <v>481818.18181818177</v>
      </c>
      <c r="E122" s="109">
        <v>530000</v>
      </c>
    </row>
    <row r="123" spans="1:5" ht="15.75">
      <c r="A123" s="103">
        <v>3</v>
      </c>
      <c r="B123" s="96" t="s">
        <v>465</v>
      </c>
      <c r="C123" s="97" t="s">
        <v>259</v>
      </c>
      <c r="D123" s="110">
        <f t="shared" si="1"/>
        <v>540909.0909090908</v>
      </c>
      <c r="E123" s="109">
        <v>595000</v>
      </c>
    </row>
    <row r="124" spans="1:5" ht="15.75">
      <c r="A124" s="103">
        <v>4</v>
      </c>
      <c r="B124" s="96" t="s">
        <v>466</v>
      </c>
      <c r="C124" s="97" t="s">
        <v>259</v>
      </c>
      <c r="D124" s="110">
        <f t="shared" si="1"/>
        <v>513636.3636363636</v>
      </c>
      <c r="E124" s="109">
        <v>565000</v>
      </c>
    </row>
    <row r="125" spans="1:5" ht="15.75">
      <c r="A125" s="103">
        <v>5</v>
      </c>
      <c r="B125" s="96" t="s">
        <v>467</v>
      </c>
      <c r="C125" s="97" t="s">
        <v>259</v>
      </c>
      <c r="D125" s="110">
        <f t="shared" si="1"/>
        <v>590909.0909090908</v>
      </c>
      <c r="E125" s="109">
        <v>650000</v>
      </c>
    </row>
    <row r="126" spans="1:5" ht="15.75">
      <c r="A126" s="103">
        <v>6</v>
      </c>
      <c r="B126" s="96" t="s">
        <v>468</v>
      </c>
      <c r="C126" s="97" t="s">
        <v>259</v>
      </c>
      <c r="D126" s="110">
        <f t="shared" si="1"/>
        <v>536363.6363636364</v>
      </c>
      <c r="E126" s="109">
        <v>590000</v>
      </c>
    </row>
    <row r="127" spans="1:5" ht="15.75">
      <c r="A127" s="103">
        <v>7</v>
      </c>
      <c r="B127" s="96" t="s">
        <v>469</v>
      </c>
      <c r="C127" s="97" t="s">
        <v>259</v>
      </c>
      <c r="D127" s="110">
        <f t="shared" si="1"/>
        <v>627272.7272727272</v>
      </c>
      <c r="E127" s="109">
        <v>690000</v>
      </c>
    </row>
    <row r="128" spans="1:5" ht="15.75">
      <c r="A128" s="103">
        <v>8</v>
      </c>
      <c r="B128" s="96" t="s">
        <v>470</v>
      </c>
      <c r="C128" s="97" t="s">
        <v>259</v>
      </c>
      <c r="D128" s="110">
        <f t="shared" si="1"/>
        <v>613636.3636363635</v>
      </c>
      <c r="E128" s="109">
        <v>675000</v>
      </c>
    </row>
    <row r="129" spans="1:5" ht="15.75">
      <c r="A129" s="103">
        <v>9</v>
      </c>
      <c r="B129" s="96" t="s">
        <v>471</v>
      </c>
      <c r="C129" s="97" t="s">
        <v>259</v>
      </c>
      <c r="D129" s="110">
        <f t="shared" si="1"/>
        <v>700000</v>
      </c>
      <c r="E129" s="109">
        <v>770000</v>
      </c>
    </row>
    <row r="130" spans="1:5" ht="15.75">
      <c r="A130" s="103">
        <v>10</v>
      </c>
      <c r="B130" s="96" t="s">
        <v>472</v>
      </c>
      <c r="C130" s="97" t="s">
        <v>259</v>
      </c>
      <c r="D130" s="110">
        <f t="shared" si="1"/>
        <v>631818.1818181818</v>
      </c>
      <c r="E130" s="109">
        <v>695000</v>
      </c>
    </row>
    <row r="131" spans="1:5" ht="15.75">
      <c r="A131" s="103">
        <v>11</v>
      </c>
      <c r="B131" s="96" t="s">
        <v>473</v>
      </c>
      <c r="C131" s="97" t="s">
        <v>259</v>
      </c>
      <c r="D131" s="110">
        <f t="shared" si="1"/>
        <v>668181.8181818181</v>
      </c>
      <c r="E131" s="109">
        <v>735000</v>
      </c>
    </row>
    <row r="132" spans="1:5" ht="15.75">
      <c r="A132" s="103">
        <v>12</v>
      </c>
      <c r="B132" s="96" t="s">
        <v>474</v>
      </c>
      <c r="C132" s="97" t="s">
        <v>259</v>
      </c>
      <c r="D132" s="110">
        <f t="shared" si="1"/>
        <v>650000</v>
      </c>
      <c r="E132" s="109">
        <v>715000</v>
      </c>
    </row>
    <row r="133" spans="1:5" ht="15.75">
      <c r="A133" s="103">
        <v>13</v>
      </c>
      <c r="B133" s="96" t="s">
        <v>475</v>
      </c>
      <c r="C133" s="97" t="s">
        <v>259</v>
      </c>
      <c r="D133" s="110">
        <f t="shared" si="1"/>
        <v>677272.7272727272</v>
      </c>
      <c r="E133" s="109">
        <v>745000</v>
      </c>
    </row>
    <row r="134" spans="1:5" ht="15.75">
      <c r="A134" s="103">
        <v>14</v>
      </c>
      <c r="B134" s="96" t="s">
        <v>476</v>
      </c>
      <c r="C134" s="97" t="s">
        <v>259</v>
      </c>
      <c r="D134" s="110">
        <f t="shared" si="1"/>
        <v>663636.3636363635</v>
      </c>
      <c r="E134" s="109">
        <v>730000</v>
      </c>
    </row>
    <row r="135" spans="1:5" ht="15.75">
      <c r="A135" s="103">
        <v>15</v>
      </c>
      <c r="B135" s="96" t="s">
        <v>477</v>
      </c>
      <c r="C135" s="97" t="s">
        <v>259</v>
      </c>
      <c r="D135" s="110">
        <f t="shared" si="1"/>
        <v>822727.2727272727</v>
      </c>
      <c r="E135" s="109">
        <v>905000</v>
      </c>
    </row>
    <row r="136" spans="1:5" ht="15.75">
      <c r="A136" s="103">
        <v>16</v>
      </c>
      <c r="B136" s="98" t="s">
        <v>478</v>
      </c>
      <c r="C136" s="97" t="s">
        <v>259</v>
      </c>
      <c r="D136" s="110">
        <f t="shared" si="1"/>
        <v>795454.5454545454</v>
      </c>
      <c r="E136" s="109">
        <v>875000</v>
      </c>
    </row>
    <row r="137" spans="1:4" ht="15.75">
      <c r="A137" s="101" t="s">
        <v>509</v>
      </c>
      <c r="B137" s="100" t="s">
        <v>366</v>
      </c>
      <c r="C137" s="97"/>
      <c r="D137" s="110"/>
    </row>
    <row r="138" spans="1:5" ht="15.75">
      <c r="A138" s="103">
        <v>1</v>
      </c>
      <c r="B138" s="96" t="s">
        <v>367</v>
      </c>
      <c r="C138" s="97" t="s">
        <v>368</v>
      </c>
      <c r="D138" s="110">
        <f t="shared" si="1"/>
        <v>31818.181818181816</v>
      </c>
      <c r="E138" s="109">
        <v>35000</v>
      </c>
    </row>
    <row r="139" spans="1:5" ht="15.75">
      <c r="A139" s="103">
        <v>2</v>
      </c>
      <c r="B139" s="98" t="s">
        <v>362</v>
      </c>
      <c r="C139" s="97" t="s">
        <v>368</v>
      </c>
      <c r="D139" s="110">
        <f t="shared" si="1"/>
        <v>3636.363636363636</v>
      </c>
      <c r="E139" s="109">
        <v>4000</v>
      </c>
    </row>
    <row r="140" spans="1:5" ht="15.75">
      <c r="A140" s="103">
        <v>3</v>
      </c>
      <c r="B140" s="98" t="s">
        <v>578</v>
      </c>
      <c r="C140" s="97" t="s">
        <v>368</v>
      </c>
      <c r="D140" s="110">
        <f t="shared" si="1"/>
        <v>54545.454545454544</v>
      </c>
      <c r="E140" s="109">
        <v>60000</v>
      </c>
    </row>
    <row r="141" spans="1:4" ht="15.75">
      <c r="A141" s="101" t="s">
        <v>587</v>
      </c>
      <c r="B141" s="100" t="s">
        <v>369</v>
      </c>
      <c r="C141" s="97"/>
      <c r="D141" s="110"/>
    </row>
    <row r="142" spans="1:5" ht="15.75">
      <c r="A142" s="103">
        <v>1</v>
      </c>
      <c r="B142" s="96" t="s">
        <v>370</v>
      </c>
      <c r="C142" s="97" t="s">
        <v>484</v>
      </c>
      <c r="D142" s="110">
        <f t="shared" si="1"/>
        <v>549090.9090909091</v>
      </c>
      <c r="E142" s="109">
        <v>604000</v>
      </c>
    </row>
    <row r="143" spans="1:5" ht="15.75">
      <c r="A143" s="103">
        <v>2</v>
      </c>
      <c r="B143" s="96" t="s">
        <v>371</v>
      </c>
      <c r="C143" s="97" t="s">
        <v>484</v>
      </c>
      <c r="D143" s="110">
        <f t="shared" si="1"/>
        <v>591818.1818181818</v>
      </c>
      <c r="E143" s="109">
        <v>651000</v>
      </c>
    </row>
    <row r="144" spans="1:5" ht="15.75">
      <c r="A144" s="103">
        <v>3</v>
      </c>
      <c r="B144" s="96" t="s">
        <v>372</v>
      </c>
      <c r="C144" s="97" t="s">
        <v>484</v>
      </c>
      <c r="D144" s="110">
        <f t="shared" si="1"/>
        <v>610909.0909090908</v>
      </c>
      <c r="E144" s="109">
        <v>672000</v>
      </c>
    </row>
    <row r="145" spans="1:5" ht="15.75">
      <c r="A145" s="103">
        <v>4</v>
      </c>
      <c r="B145" s="96" t="s">
        <v>373</v>
      </c>
      <c r="C145" s="97" t="s">
        <v>484</v>
      </c>
      <c r="D145" s="110">
        <f t="shared" si="1"/>
        <v>620909.0909090908</v>
      </c>
      <c r="E145" s="109">
        <v>683000</v>
      </c>
    </row>
    <row r="146" spans="1:5" ht="15.75">
      <c r="A146" s="103">
        <v>5</v>
      </c>
      <c r="B146" s="96" t="s">
        <v>374</v>
      </c>
      <c r="C146" s="97" t="s">
        <v>484</v>
      </c>
      <c r="D146" s="110">
        <f t="shared" si="1"/>
        <v>630000</v>
      </c>
      <c r="E146" s="109">
        <v>693000</v>
      </c>
    </row>
    <row r="147" spans="1:5" ht="15.75">
      <c r="A147" s="103">
        <v>6</v>
      </c>
      <c r="B147" s="96" t="s">
        <v>375</v>
      </c>
      <c r="C147" s="97" t="s">
        <v>484</v>
      </c>
      <c r="D147" s="110">
        <f t="shared" si="1"/>
        <v>663636.3636363635</v>
      </c>
      <c r="E147" s="109">
        <v>730000</v>
      </c>
    </row>
    <row r="148" spans="1:5" ht="15.75">
      <c r="A148" s="103">
        <v>7</v>
      </c>
      <c r="B148" s="96" t="s">
        <v>376</v>
      </c>
      <c r="C148" s="97" t="s">
        <v>484</v>
      </c>
      <c r="D148" s="110">
        <f t="shared" si="1"/>
        <v>691818.1818181818</v>
      </c>
      <c r="E148" s="109">
        <v>761000</v>
      </c>
    </row>
    <row r="149" spans="1:5" ht="15.75">
      <c r="A149" s="103">
        <v>8</v>
      </c>
      <c r="B149" s="96" t="s">
        <v>377</v>
      </c>
      <c r="C149" s="97" t="s">
        <v>484</v>
      </c>
      <c r="D149" s="110">
        <f t="shared" si="1"/>
        <v>701818.1818181818</v>
      </c>
      <c r="E149" s="109">
        <v>772000</v>
      </c>
    </row>
    <row r="150" spans="1:5" ht="15.75">
      <c r="A150" s="104">
        <v>9</v>
      </c>
      <c r="B150" s="99" t="s">
        <v>225</v>
      </c>
      <c r="C150" s="105" t="s">
        <v>484</v>
      </c>
      <c r="D150" s="111">
        <f t="shared" si="1"/>
        <v>716363.6363636364</v>
      </c>
      <c r="E150" s="109">
        <v>788000</v>
      </c>
    </row>
  </sheetData>
  <sheetProtection/>
  <mergeCells count="5">
    <mergeCell ref="A1:D1"/>
    <mergeCell ref="B3:B4"/>
    <mergeCell ref="A3:A4"/>
    <mergeCell ref="C3:C4"/>
    <mergeCell ref="D3:D4"/>
  </mergeCells>
  <printOptions horizontalCentered="1"/>
  <pageMargins left="0.35" right="0.25" top="0.54" bottom="0.83" header="0.32" footer="0.19"/>
  <pageSetup horizontalDpi="600" verticalDpi="600" orientation="portrait" paperSize="9" r:id="rId1"/>
  <headerFooter alignWithMargins="0">
    <oddHeader xml:space="preserve">&amp;C
 </oddHeader>
    <oddFooter>&amp;C&amp;P+36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Y22"/>
  <sheetViews>
    <sheetView zoomScalePageLayoutView="0" workbookViewId="0" topLeftCell="A1">
      <selection activeCell="A1" sqref="A1"/>
    </sheetView>
  </sheetViews>
  <sheetFormatPr defaultColWidth="8.796875" defaultRowHeight="15"/>
  <cols>
    <col min="1" max="1" width="10.5" style="0" customWidth="1"/>
    <col min="2" max="2" width="8" style="0" bestFit="1" customWidth="1"/>
    <col min="3" max="3" width="8.59765625" style="0" bestFit="1" customWidth="1"/>
    <col min="4" max="4" width="6.3984375" style="0" bestFit="1" customWidth="1"/>
    <col min="5" max="5" width="10.59765625" style="0" bestFit="1" customWidth="1"/>
    <col min="6" max="6" width="6.3984375" style="0" bestFit="1" customWidth="1"/>
    <col min="7" max="7" width="10.59765625" style="0" bestFit="1" customWidth="1"/>
    <col min="8" max="8" width="6.3984375" style="0" bestFit="1" customWidth="1"/>
    <col min="11" max="11" width="6.3984375" style="0" bestFit="1" customWidth="1"/>
    <col min="12" max="12" width="10.59765625" style="0" bestFit="1" customWidth="1"/>
    <col min="13" max="13" width="6.3984375" style="0" bestFit="1" customWidth="1"/>
    <col min="14" max="14" width="10.59765625" style="0" bestFit="1" customWidth="1"/>
    <col min="16" max="16" width="6.3984375" style="0" bestFit="1" customWidth="1"/>
    <col min="17" max="17" width="10.59765625" style="0" bestFit="1" customWidth="1"/>
    <col min="18" max="18" width="6.3984375" style="0" bestFit="1" customWidth="1"/>
    <col min="19" max="19" width="11.8984375" style="0" bestFit="1" customWidth="1"/>
    <col min="20" max="20" width="6.3984375" style="0" bestFit="1" customWidth="1"/>
    <col min="21" max="21" width="10.59765625" style="0" bestFit="1" customWidth="1"/>
    <col min="22" max="22" width="6.3984375" style="0" bestFit="1" customWidth="1"/>
    <col min="23" max="23" width="10.59765625" style="0" bestFit="1" customWidth="1"/>
    <col min="24" max="24" width="6.3984375" style="0" bestFit="1" customWidth="1"/>
  </cols>
  <sheetData>
    <row r="2" spans="1:25" s="62" customFormat="1" ht="19.5" customHeight="1">
      <c r="A2" s="400" t="s">
        <v>229</v>
      </c>
      <c r="B2" s="401" t="s">
        <v>237</v>
      </c>
      <c r="C2" s="403" t="s">
        <v>241</v>
      </c>
      <c r="D2" s="404"/>
      <c r="E2" s="404"/>
      <c r="F2" s="404"/>
      <c r="G2" s="404"/>
      <c r="H2" s="404"/>
      <c r="I2" s="405"/>
      <c r="J2" s="403" t="s">
        <v>245</v>
      </c>
      <c r="K2" s="404"/>
      <c r="L2" s="404"/>
      <c r="M2" s="404"/>
      <c r="N2" s="405"/>
      <c r="O2" s="403" t="s">
        <v>250</v>
      </c>
      <c r="P2" s="404"/>
      <c r="Q2" s="404"/>
      <c r="R2" s="404"/>
      <c r="S2" s="404"/>
      <c r="T2" s="404"/>
      <c r="U2" s="404"/>
      <c r="V2" s="404"/>
      <c r="W2" s="405"/>
      <c r="X2" s="412" t="s">
        <v>252</v>
      </c>
      <c r="Y2" s="412"/>
    </row>
    <row r="3" spans="1:25" s="62" customFormat="1" ht="19.5" customHeight="1">
      <c r="A3" s="400"/>
      <c r="B3" s="402"/>
      <c r="C3" s="406" t="s">
        <v>255</v>
      </c>
      <c r="D3" s="408" t="s">
        <v>238</v>
      </c>
      <c r="E3" s="408"/>
      <c r="F3" s="408" t="s">
        <v>239</v>
      </c>
      <c r="G3" s="408"/>
      <c r="H3" s="409" t="s">
        <v>240</v>
      </c>
      <c r="I3" s="409"/>
      <c r="J3" s="410" t="s">
        <v>255</v>
      </c>
      <c r="K3" s="408" t="s">
        <v>243</v>
      </c>
      <c r="L3" s="408"/>
      <c r="M3" s="408" t="s">
        <v>244</v>
      </c>
      <c r="N3" s="408"/>
      <c r="O3" s="410" t="s">
        <v>255</v>
      </c>
      <c r="P3" s="408" t="s">
        <v>246</v>
      </c>
      <c r="Q3" s="408"/>
      <c r="R3" s="408" t="s">
        <v>247</v>
      </c>
      <c r="S3" s="408"/>
      <c r="T3" s="408" t="s">
        <v>248</v>
      </c>
      <c r="U3" s="408"/>
      <c r="V3" s="408" t="s">
        <v>249</v>
      </c>
      <c r="W3" s="408"/>
      <c r="X3" s="408" t="s">
        <v>256</v>
      </c>
      <c r="Y3" s="408"/>
    </row>
    <row r="4" spans="1:25" s="62" customFormat="1" ht="19.5" customHeight="1">
      <c r="A4" s="400"/>
      <c r="B4" s="63" t="s">
        <v>253</v>
      </c>
      <c r="C4" s="407"/>
      <c r="D4" s="64" t="s">
        <v>236</v>
      </c>
      <c r="E4" s="65" t="s">
        <v>242</v>
      </c>
      <c r="F4" s="64" t="s">
        <v>236</v>
      </c>
      <c r="G4" s="65" t="s">
        <v>242</v>
      </c>
      <c r="H4" s="65" t="s">
        <v>236</v>
      </c>
      <c r="I4" s="65" t="s">
        <v>242</v>
      </c>
      <c r="J4" s="411"/>
      <c r="K4" s="64" t="s">
        <v>236</v>
      </c>
      <c r="L4" s="64" t="s">
        <v>242</v>
      </c>
      <c r="M4" s="64" t="s">
        <v>236</v>
      </c>
      <c r="N4" s="64" t="s">
        <v>242</v>
      </c>
      <c r="O4" s="411"/>
      <c r="P4" s="64" t="s">
        <v>236</v>
      </c>
      <c r="Q4" s="64" t="s">
        <v>242</v>
      </c>
      <c r="R4" s="64" t="s">
        <v>236</v>
      </c>
      <c r="S4" s="64" t="s">
        <v>242</v>
      </c>
      <c r="T4" s="64" t="s">
        <v>236</v>
      </c>
      <c r="U4" s="64" t="s">
        <v>242</v>
      </c>
      <c r="V4" s="64" t="s">
        <v>236</v>
      </c>
      <c r="W4" s="64" t="s">
        <v>242</v>
      </c>
      <c r="X4" s="64" t="s">
        <v>236</v>
      </c>
      <c r="Y4" s="64" t="s">
        <v>242</v>
      </c>
    </row>
    <row r="5" spans="1:25" s="62" customFormat="1" ht="18">
      <c r="A5" s="64" t="s">
        <v>230</v>
      </c>
      <c r="B5" s="64">
        <v>2000</v>
      </c>
      <c r="C5" s="65">
        <f>ROUND(65000/1.1,-2)</f>
        <v>59100</v>
      </c>
      <c r="D5" s="64">
        <v>20</v>
      </c>
      <c r="E5" s="65">
        <f>$C$5+$B$5*D5</f>
        <v>99100</v>
      </c>
      <c r="F5" s="64">
        <v>32</v>
      </c>
      <c r="G5" s="65">
        <f>$C$5+$B$5*F5</f>
        <v>123100</v>
      </c>
      <c r="H5" s="65">
        <v>38</v>
      </c>
      <c r="I5" s="65">
        <f>$C$5+$B$5*H5</f>
        <v>135100</v>
      </c>
      <c r="J5" s="65">
        <v>70000</v>
      </c>
      <c r="K5" s="64">
        <v>55</v>
      </c>
      <c r="L5" s="64">
        <f>$J$5+$B$5*K5</f>
        <v>180000</v>
      </c>
      <c r="M5" s="64">
        <v>65</v>
      </c>
      <c r="N5" s="64">
        <f>$J$5+$B$5*M5</f>
        <v>200000</v>
      </c>
      <c r="O5" s="65">
        <f>ROUND(90000/1.1,-2)</f>
        <v>81800</v>
      </c>
      <c r="P5" s="64">
        <v>27</v>
      </c>
      <c r="Q5" s="64">
        <f>$O$5+$B$5*P5</f>
        <v>135800</v>
      </c>
      <c r="R5" s="64">
        <v>37</v>
      </c>
      <c r="S5" s="64">
        <f>$O$5+$B$5*R5</f>
        <v>155800</v>
      </c>
      <c r="T5" s="64">
        <v>50</v>
      </c>
      <c r="U5" s="64">
        <f>$O$5+$B$5*T5</f>
        <v>181800</v>
      </c>
      <c r="V5" s="64">
        <v>45</v>
      </c>
      <c r="W5" s="64">
        <f>$O$5+$B$5*V5</f>
        <v>171800</v>
      </c>
      <c r="X5" s="64"/>
      <c r="Y5" s="64"/>
    </row>
    <row r="6" spans="1:25" s="62" customFormat="1" ht="18">
      <c r="A6" s="64" t="s">
        <v>231</v>
      </c>
      <c r="B6" s="64">
        <v>2000</v>
      </c>
      <c r="C6" s="65">
        <f>ROUND(90000/1.1,-2)</f>
        <v>81800</v>
      </c>
      <c r="D6" s="64">
        <v>20</v>
      </c>
      <c r="E6" s="65">
        <f>$C$6+$B$6*D6</f>
        <v>121800</v>
      </c>
      <c r="F6" s="64">
        <v>32</v>
      </c>
      <c r="G6" s="65">
        <f>$C$6+$B$6*F6</f>
        <v>145800</v>
      </c>
      <c r="H6" s="65">
        <v>38</v>
      </c>
      <c r="I6" s="65">
        <f>$C$6+$B$6*H6</f>
        <v>157800</v>
      </c>
      <c r="J6" s="65">
        <v>79000</v>
      </c>
      <c r="K6" s="64">
        <v>55</v>
      </c>
      <c r="L6" s="64">
        <f>$J$6+$B$6*K6</f>
        <v>189000</v>
      </c>
      <c r="M6" s="64">
        <v>65</v>
      </c>
      <c r="N6" s="64">
        <f>$J$6+$B$6*M6</f>
        <v>209000</v>
      </c>
      <c r="O6" s="65">
        <f>ROUND(90000/1.1,-2)</f>
        <v>81800</v>
      </c>
      <c r="P6" s="64">
        <v>27</v>
      </c>
      <c r="Q6" s="64">
        <f>$O$6+$B$6*P6</f>
        <v>135800</v>
      </c>
      <c r="R6" s="64">
        <v>37</v>
      </c>
      <c r="S6" s="64">
        <f>$O$6+$B$6*R6</f>
        <v>155800</v>
      </c>
      <c r="T6" s="64">
        <v>50</v>
      </c>
      <c r="U6" s="64">
        <f>$O$6+$B$6*T6</f>
        <v>181800</v>
      </c>
      <c r="V6" s="64">
        <v>45</v>
      </c>
      <c r="W6" s="64">
        <f>$O$6+$B$6*V6</f>
        <v>171800</v>
      </c>
      <c r="X6" s="64"/>
      <c r="Y6" s="64"/>
    </row>
    <row r="7" spans="1:25" s="62" customFormat="1" ht="18">
      <c r="A7" s="64" t="s">
        <v>232</v>
      </c>
      <c r="B7" s="64">
        <v>2000</v>
      </c>
      <c r="C7" s="65">
        <f>ROUND(90000/1.1,-2)</f>
        <v>81800</v>
      </c>
      <c r="D7" s="64">
        <v>20</v>
      </c>
      <c r="E7" s="65">
        <f>$C$7+$B$7*D7</f>
        <v>121800</v>
      </c>
      <c r="F7" s="64">
        <v>32</v>
      </c>
      <c r="G7" s="65">
        <f>$C$7+$B$7*F7</f>
        <v>145800</v>
      </c>
      <c r="H7" s="65">
        <v>38</v>
      </c>
      <c r="I7" s="65">
        <f>$C$7+$B$7*H7</f>
        <v>157800</v>
      </c>
      <c r="J7" s="65">
        <v>79000</v>
      </c>
      <c r="K7" s="64">
        <v>55</v>
      </c>
      <c r="L7" s="64">
        <f>$J$7+$B$7*K7</f>
        <v>189000</v>
      </c>
      <c r="M7" s="64">
        <v>65</v>
      </c>
      <c r="N7" s="64">
        <f>$J$7+$B$7*M7</f>
        <v>209000</v>
      </c>
      <c r="O7" s="65">
        <f>ROUND(87000/1.1,-2)</f>
        <v>79100</v>
      </c>
      <c r="P7" s="64">
        <v>27</v>
      </c>
      <c r="Q7" s="64">
        <f>$O$7+$B$7*P7</f>
        <v>133100</v>
      </c>
      <c r="R7" s="64">
        <v>37</v>
      </c>
      <c r="S7" s="64">
        <f>$O$7+$B$7*R7</f>
        <v>153100</v>
      </c>
      <c r="T7" s="64">
        <v>50</v>
      </c>
      <c r="U7" s="64">
        <f>$O$7+$B$7*T7</f>
        <v>179100</v>
      </c>
      <c r="V7" s="64">
        <v>45</v>
      </c>
      <c r="W7" s="64">
        <f>$O$7+$B$7*V7</f>
        <v>169100</v>
      </c>
      <c r="X7" s="64"/>
      <c r="Y7" s="64"/>
    </row>
    <row r="8" spans="1:25" s="62" customFormat="1" ht="18">
      <c r="A8" s="64" t="s">
        <v>233</v>
      </c>
      <c r="B8" s="64">
        <v>2000</v>
      </c>
      <c r="C8" s="65">
        <f>ROUND(70000/1.1,-2)</f>
        <v>63600</v>
      </c>
      <c r="D8" s="64">
        <v>20</v>
      </c>
      <c r="E8" s="65">
        <f>$C$8+$B$8*D8</f>
        <v>103600</v>
      </c>
      <c r="F8" s="64">
        <v>32</v>
      </c>
      <c r="G8" s="65">
        <f>$C$8+$B$8*F8</f>
        <v>127600</v>
      </c>
      <c r="H8" s="65">
        <v>38</v>
      </c>
      <c r="I8" s="65">
        <f>$C$8+$B$8*H8</f>
        <v>139600</v>
      </c>
      <c r="J8" s="65">
        <v>67000</v>
      </c>
      <c r="K8" s="64">
        <v>55</v>
      </c>
      <c r="L8" s="64">
        <f>$J$8+$B$8*K8</f>
        <v>177000</v>
      </c>
      <c r="M8" s="64">
        <v>65</v>
      </c>
      <c r="N8" s="64">
        <f>$J$8+$B$8*M8</f>
        <v>197000</v>
      </c>
      <c r="O8" s="65">
        <f>ROUND(85000/1.1,-2)</f>
        <v>77300</v>
      </c>
      <c r="P8" s="64">
        <v>27</v>
      </c>
      <c r="Q8" s="64">
        <f>$O$8+$B$8*P8</f>
        <v>131300</v>
      </c>
      <c r="R8" s="64">
        <v>37</v>
      </c>
      <c r="S8" s="64">
        <f>$O$8+$B$8*R8</f>
        <v>151300</v>
      </c>
      <c r="T8" s="64">
        <v>50</v>
      </c>
      <c r="U8" s="64">
        <f>$O$8+$B$8*T8</f>
        <v>177300</v>
      </c>
      <c r="V8" s="64">
        <v>45</v>
      </c>
      <c r="W8" s="64">
        <f>$O$8+$B$8*V8</f>
        <v>167300</v>
      </c>
      <c r="X8" s="64"/>
      <c r="Y8" s="64"/>
    </row>
    <row r="9" spans="1:25" s="62" customFormat="1" ht="18">
      <c r="A9" s="64" t="s">
        <v>234</v>
      </c>
      <c r="B9" s="64">
        <v>2000</v>
      </c>
      <c r="C9" s="65">
        <f>ROUND(70000/1.1,-2)</f>
        <v>63600</v>
      </c>
      <c r="D9" s="64">
        <v>20</v>
      </c>
      <c r="E9" s="65">
        <f>$C$9+$B$9*D9</f>
        <v>103600</v>
      </c>
      <c r="F9" s="64">
        <v>32</v>
      </c>
      <c r="G9" s="65">
        <f>$C$9+$B$9*F9</f>
        <v>127600</v>
      </c>
      <c r="H9" s="65">
        <v>38</v>
      </c>
      <c r="I9" s="65">
        <f>$C$9+$B$9*H9</f>
        <v>139600</v>
      </c>
      <c r="J9" s="65">
        <v>63000</v>
      </c>
      <c r="K9" s="64">
        <v>55</v>
      </c>
      <c r="L9" s="64">
        <f>$J$9+$B$9*K9</f>
        <v>173000</v>
      </c>
      <c r="M9" s="64">
        <v>65</v>
      </c>
      <c r="N9" s="64">
        <f>$J$9+$B$9*M9</f>
        <v>193000</v>
      </c>
      <c r="O9" s="65">
        <f>ROUND(69000/1.1,-2)</f>
        <v>62700</v>
      </c>
      <c r="P9" s="64">
        <v>27</v>
      </c>
      <c r="Q9" s="64">
        <f>$O$9+$B$9*P9</f>
        <v>116700</v>
      </c>
      <c r="R9" s="64">
        <v>37</v>
      </c>
      <c r="S9" s="64">
        <f>$O$9+$B$9*R9</f>
        <v>136700</v>
      </c>
      <c r="T9" s="64">
        <v>50</v>
      </c>
      <c r="U9" s="64">
        <f>$O$9+$B$9*T9</f>
        <v>162700</v>
      </c>
      <c r="V9" s="64">
        <v>45</v>
      </c>
      <c r="W9" s="64">
        <f>$O$9+$B$9*V9</f>
        <v>152700</v>
      </c>
      <c r="X9" s="64"/>
      <c r="Y9" s="64"/>
    </row>
    <row r="10" spans="1:25" s="62" customFormat="1" ht="18">
      <c r="A10" s="64" t="s">
        <v>235</v>
      </c>
      <c r="B10" s="64">
        <v>2000</v>
      </c>
      <c r="C10" s="65">
        <f>ROUND(50000/1.1,-2)</f>
        <v>45500</v>
      </c>
      <c r="D10" s="64">
        <v>20</v>
      </c>
      <c r="E10" s="65">
        <f>$C$10+$B$10*D10</f>
        <v>85500</v>
      </c>
      <c r="F10" s="64">
        <v>32</v>
      </c>
      <c r="G10" s="65">
        <f>$C$10+$B$10*F10</f>
        <v>109500</v>
      </c>
      <c r="H10" s="65">
        <v>38</v>
      </c>
      <c r="I10" s="65">
        <f>$C$10+$B$10*H10</f>
        <v>121500</v>
      </c>
      <c r="J10" s="65">
        <f>ROUND(52000/1.1,-2)</f>
        <v>47300</v>
      </c>
      <c r="K10" s="64">
        <v>55</v>
      </c>
      <c r="L10" s="64">
        <f>$J$10+$B$10*K10</f>
        <v>157300</v>
      </c>
      <c r="M10" s="64">
        <v>65</v>
      </c>
      <c r="N10" s="64">
        <f>$J$10+$B$10*M10</f>
        <v>177300</v>
      </c>
      <c r="O10" s="65">
        <f>ROUND(52000/1.1,-2)</f>
        <v>47300</v>
      </c>
      <c r="P10" s="64">
        <v>27</v>
      </c>
      <c r="Q10" s="64">
        <f>$O$10+$B$10*P10</f>
        <v>101300</v>
      </c>
      <c r="R10" s="64">
        <v>37</v>
      </c>
      <c r="S10" s="64">
        <f>$O$10+$B$10*R10</f>
        <v>121300</v>
      </c>
      <c r="T10" s="64">
        <v>50</v>
      </c>
      <c r="U10" s="64">
        <f>$O$10+$B$10*T10</f>
        <v>147300</v>
      </c>
      <c r="V10" s="64">
        <v>45</v>
      </c>
      <c r="W10" s="64">
        <f>$O$10+$B$10*V10</f>
        <v>137300</v>
      </c>
      <c r="X10" s="64"/>
      <c r="Y10" s="64"/>
    </row>
    <row r="17" ht="15">
      <c r="S17">
        <f>1500/1.05</f>
        <v>1428.5714285714284</v>
      </c>
    </row>
    <row r="20" ht="15">
      <c r="O20">
        <f>2500*300</f>
        <v>750000</v>
      </c>
    </row>
    <row r="22" spans="17:19" ht="15">
      <c r="Q22">
        <f>10000/25</f>
        <v>400</v>
      </c>
      <c r="S22">
        <f>60*400</f>
        <v>24000</v>
      </c>
    </row>
  </sheetData>
  <sheetProtection/>
  <mergeCells count="19">
    <mergeCell ref="O2:W2"/>
    <mergeCell ref="X2:Y2"/>
    <mergeCell ref="M3:N3"/>
    <mergeCell ref="O3:O4"/>
    <mergeCell ref="P3:Q3"/>
    <mergeCell ref="R3:S3"/>
    <mergeCell ref="T3:U3"/>
    <mergeCell ref="V3:W3"/>
    <mergeCell ref="X3:Y3"/>
    <mergeCell ref="A2:A4"/>
    <mergeCell ref="B2:B3"/>
    <mergeCell ref="C2:I2"/>
    <mergeCell ref="J2:N2"/>
    <mergeCell ref="C3:C4"/>
    <mergeCell ref="D3:E3"/>
    <mergeCell ref="F3:G3"/>
    <mergeCell ref="H3:I3"/>
    <mergeCell ref="J3:J4"/>
    <mergeCell ref="K3:L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A1" sqref="A1:B1"/>
    </sheetView>
  </sheetViews>
  <sheetFormatPr defaultColWidth="8.8984375" defaultRowHeight="15"/>
  <cols>
    <col min="1" max="1" width="4.69921875" style="1" customWidth="1"/>
    <col min="2" max="2" width="92.59765625" style="108" customWidth="1"/>
    <col min="3" max="3" width="8.8984375" style="1" customWidth="1"/>
    <col min="4" max="4" width="16.59765625" style="1" customWidth="1"/>
    <col min="5" max="16384" width="8.8984375" style="1" customWidth="1"/>
  </cols>
  <sheetData>
    <row r="1" spans="1:2" ht="24" customHeight="1">
      <c r="A1" s="413" t="s">
        <v>545</v>
      </c>
      <c r="B1" s="413"/>
    </row>
    <row r="3" spans="1:2" ht="15.75">
      <c r="A3" s="1">
        <v>1</v>
      </c>
      <c r="B3" s="108" t="s">
        <v>541</v>
      </c>
    </row>
    <row r="4" spans="1:2" ht="15.75">
      <c r="A4" s="1">
        <v>2</v>
      </c>
      <c r="B4" s="108" t="s">
        <v>292</v>
      </c>
    </row>
    <row r="5" spans="1:2" ht="15.75">
      <c r="A5" s="1">
        <v>3</v>
      </c>
      <c r="B5" s="108" t="s">
        <v>542</v>
      </c>
    </row>
    <row r="6" spans="1:2" ht="31.5">
      <c r="A6" s="1">
        <v>4</v>
      </c>
      <c r="B6" s="108" t="s">
        <v>543</v>
      </c>
    </row>
    <row r="7" spans="1:2" ht="15.75">
      <c r="A7" s="1">
        <v>5</v>
      </c>
      <c r="B7" s="108" t="s">
        <v>544</v>
      </c>
    </row>
    <row r="8" spans="1:2" ht="15.75">
      <c r="A8" s="1">
        <v>6</v>
      </c>
      <c r="B8" s="108" t="s">
        <v>546</v>
      </c>
    </row>
    <row r="9" spans="1:2" ht="31.5">
      <c r="A9" s="1">
        <v>7</v>
      </c>
      <c r="B9" s="108" t="s">
        <v>258</v>
      </c>
    </row>
    <row r="10" spans="1:2" ht="15.75">
      <c r="A10" s="1">
        <v>8</v>
      </c>
      <c r="B10" s="108" t="s">
        <v>363</v>
      </c>
    </row>
    <row r="11" ht="15.75">
      <c r="B11" s="108" t="s">
        <v>547</v>
      </c>
    </row>
    <row r="19" ht="15.75">
      <c r="D19" s="112">
        <f>219174142737*0.4*1.55*0.77/100</f>
        <v>1046337357.426438</v>
      </c>
    </row>
  </sheetData>
  <sheetProtection/>
  <mergeCells count="1">
    <mergeCell ref="A1:B1"/>
  </mergeCells>
  <printOptions horizontalCentered="1"/>
  <pageMargins left="0.75" right="0.38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Z45"/>
  <sheetViews>
    <sheetView zoomScalePageLayoutView="0" workbookViewId="0" topLeftCell="A1">
      <selection activeCell="A1" sqref="A1"/>
    </sheetView>
  </sheetViews>
  <sheetFormatPr defaultColWidth="8.796875" defaultRowHeight="15"/>
  <cols>
    <col min="1" max="1" width="10.59765625" style="62" customWidth="1"/>
    <col min="2" max="2" width="10.3984375" style="62" customWidth="1"/>
    <col min="3" max="3" width="8.59765625" style="62" bestFit="1" customWidth="1"/>
    <col min="4" max="4" width="9.19921875" style="66" bestFit="1" customWidth="1"/>
    <col min="5" max="5" width="9.3984375" style="62" bestFit="1" customWidth="1"/>
    <col min="6" max="6" width="10.59765625" style="66" bestFit="1" customWidth="1"/>
    <col min="7" max="7" width="9.3984375" style="62" bestFit="1" customWidth="1"/>
    <col min="8" max="8" width="10.59765625" style="66" bestFit="1" customWidth="1"/>
    <col min="9" max="9" width="10.09765625" style="66" bestFit="1" customWidth="1"/>
    <col min="10" max="10" width="10.59765625" style="66" bestFit="1" customWidth="1"/>
    <col min="11" max="12" width="9.19921875" style="62" bestFit="1" customWidth="1"/>
    <col min="13" max="13" width="10.59765625" style="62" bestFit="1" customWidth="1"/>
    <col min="14" max="14" width="13" style="62" customWidth="1"/>
    <col min="15" max="15" width="10.59765625" style="62" hidden="1" customWidth="1"/>
    <col min="16" max="16" width="8.59765625" style="62" hidden="1" customWidth="1"/>
    <col min="17" max="17" width="6.3984375" style="62" hidden="1" customWidth="1"/>
    <col min="18" max="18" width="10.8984375" style="62" hidden="1" customWidth="1"/>
    <col min="19" max="19" width="7.3984375" style="62" hidden="1" customWidth="1"/>
    <col min="20" max="20" width="10.09765625" style="62" hidden="1" customWidth="1"/>
    <col min="21" max="21" width="6.3984375" style="62" hidden="1" customWidth="1"/>
    <col min="22" max="22" width="10.69921875" style="62" hidden="1" customWidth="1"/>
    <col min="23" max="23" width="6.3984375" style="62" hidden="1" customWidth="1"/>
    <col min="24" max="24" width="10.59765625" style="62" hidden="1" customWidth="1"/>
    <col min="25" max="25" width="0" style="62" hidden="1" customWidth="1"/>
    <col min="26" max="26" width="10.69921875" style="62" hidden="1" customWidth="1"/>
    <col min="27" max="27" width="9" style="62" customWidth="1"/>
    <col min="28" max="33" width="8.8984375" style="0" customWidth="1"/>
    <col min="34" max="16384" width="9" style="62" customWidth="1"/>
  </cols>
  <sheetData>
    <row r="2" spans="1:26" ht="19.5" customHeight="1">
      <c r="A2" s="417" t="s">
        <v>276</v>
      </c>
      <c r="B2" s="417"/>
      <c r="C2" s="417"/>
      <c r="D2" s="417"/>
      <c r="E2" s="417"/>
      <c r="F2" s="417"/>
      <c r="G2" s="417"/>
      <c r="H2" s="417"/>
      <c r="I2" s="417"/>
      <c r="J2" s="418"/>
      <c r="K2" s="403" t="s">
        <v>245</v>
      </c>
      <c r="L2" s="404"/>
      <c r="M2" s="404"/>
      <c r="N2" s="404"/>
      <c r="O2" s="405"/>
      <c r="P2" s="403" t="s">
        <v>250</v>
      </c>
      <c r="Q2" s="404"/>
      <c r="R2" s="404"/>
      <c r="S2" s="404"/>
      <c r="T2" s="404"/>
      <c r="U2" s="404"/>
      <c r="V2" s="404"/>
      <c r="W2" s="404"/>
      <c r="X2" s="405"/>
      <c r="Y2" s="412" t="s">
        <v>252</v>
      </c>
      <c r="Z2" s="412"/>
    </row>
    <row r="3" spans="1:26" ht="19.5" customHeight="1">
      <c r="A3" s="77"/>
      <c r="B3" s="78" t="s">
        <v>237</v>
      </c>
      <c r="C3" s="79"/>
      <c r="D3" s="84" t="s">
        <v>255</v>
      </c>
      <c r="E3" s="80" t="s">
        <v>238</v>
      </c>
      <c r="F3" s="81"/>
      <c r="G3" s="80" t="s">
        <v>239</v>
      </c>
      <c r="H3" s="81"/>
      <c r="I3" s="82" t="s">
        <v>240</v>
      </c>
      <c r="J3" s="83"/>
      <c r="K3" s="410" t="s">
        <v>255</v>
      </c>
      <c r="L3" s="408" t="s">
        <v>243</v>
      </c>
      <c r="M3" s="408"/>
      <c r="N3" s="408" t="s">
        <v>244</v>
      </c>
      <c r="O3" s="408"/>
      <c r="P3" s="410" t="s">
        <v>255</v>
      </c>
      <c r="Q3" s="408" t="s">
        <v>246</v>
      </c>
      <c r="R3" s="408"/>
      <c r="S3" s="408" t="s">
        <v>247</v>
      </c>
      <c r="T3" s="408"/>
      <c r="U3" s="408" t="s">
        <v>248</v>
      </c>
      <c r="V3" s="408"/>
      <c r="W3" s="408" t="s">
        <v>249</v>
      </c>
      <c r="X3" s="408"/>
      <c r="Y3" s="408" t="s">
        <v>251</v>
      </c>
      <c r="Z3" s="408"/>
    </row>
    <row r="4" spans="1:26" ht="19.5" customHeight="1">
      <c r="A4" s="76" t="s">
        <v>229</v>
      </c>
      <c r="B4" s="63" t="s">
        <v>253</v>
      </c>
      <c r="C4" s="63" t="s">
        <v>254</v>
      </c>
      <c r="D4" s="85"/>
      <c r="E4" s="64" t="s">
        <v>236</v>
      </c>
      <c r="F4" s="65" t="s">
        <v>242</v>
      </c>
      <c r="G4" s="64" t="s">
        <v>236</v>
      </c>
      <c r="H4" s="65" t="s">
        <v>242</v>
      </c>
      <c r="I4" s="65" t="s">
        <v>236</v>
      </c>
      <c r="J4" s="65" t="s">
        <v>242</v>
      </c>
      <c r="K4" s="411"/>
      <c r="L4" s="64" t="s">
        <v>236</v>
      </c>
      <c r="M4" s="64" t="s">
        <v>242</v>
      </c>
      <c r="N4" s="64" t="s">
        <v>236</v>
      </c>
      <c r="O4" s="64" t="s">
        <v>242</v>
      </c>
      <c r="P4" s="411"/>
      <c r="Q4" s="64" t="s">
        <v>236</v>
      </c>
      <c r="R4" s="64" t="s">
        <v>242</v>
      </c>
      <c r="S4" s="64" t="s">
        <v>236</v>
      </c>
      <c r="T4" s="64" t="s">
        <v>242</v>
      </c>
      <c r="U4" s="64" t="s">
        <v>236</v>
      </c>
      <c r="V4" s="64" t="s">
        <v>242</v>
      </c>
      <c r="W4" s="64" t="s">
        <v>236</v>
      </c>
      <c r="X4" s="64" t="s">
        <v>242</v>
      </c>
      <c r="Y4" s="64" t="s">
        <v>236</v>
      </c>
      <c r="Z4" s="64" t="s">
        <v>242</v>
      </c>
    </row>
    <row r="5" spans="1:26" ht="18.75">
      <c r="A5" s="107" t="s">
        <v>230</v>
      </c>
      <c r="B5" s="64">
        <v>2300</v>
      </c>
      <c r="C5" s="64">
        <v>2000</v>
      </c>
      <c r="D5" s="86">
        <f>ROUND((140000/1.1),-2)</f>
        <v>127300</v>
      </c>
      <c r="E5" s="64">
        <v>25</v>
      </c>
      <c r="F5" s="65">
        <f>$D$5+$B$5*E5</f>
        <v>184800</v>
      </c>
      <c r="G5" s="64">
        <v>37</v>
      </c>
      <c r="H5" s="65">
        <f>$D$5+$B$5*G5</f>
        <v>212400</v>
      </c>
      <c r="I5" s="65">
        <f aca="true" t="shared" si="0" ref="I5:I10">5+38</f>
        <v>43</v>
      </c>
      <c r="J5" s="65">
        <f>$D$5+$B$5*I5</f>
        <v>226200</v>
      </c>
      <c r="K5" s="65">
        <v>70000</v>
      </c>
      <c r="L5" s="64">
        <v>55</v>
      </c>
      <c r="M5" s="64">
        <f>$K$5+$B$5*L5</f>
        <v>196500</v>
      </c>
      <c r="N5" s="64">
        <v>65</v>
      </c>
      <c r="O5" s="64">
        <f>$K$5+$B$5*N5</f>
        <v>219500</v>
      </c>
      <c r="P5" s="65">
        <f>ROUND(90000/1.1,-2)</f>
        <v>81800</v>
      </c>
      <c r="Q5" s="64">
        <v>27</v>
      </c>
      <c r="R5" s="64">
        <f>$P$5+$B$5*Q5</f>
        <v>143900</v>
      </c>
      <c r="S5" s="64">
        <v>37</v>
      </c>
      <c r="T5" s="64">
        <f>$P$5+$B$5*S5</f>
        <v>166900</v>
      </c>
      <c r="U5" s="64">
        <v>50</v>
      </c>
      <c r="V5" s="64">
        <f>$P$5+$B$5*U5</f>
        <v>196800</v>
      </c>
      <c r="W5" s="64">
        <v>45</v>
      </c>
      <c r="X5" s="64">
        <f>$P$5+$B$5*W5</f>
        <v>185300</v>
      </c>
      <c r="Y5" s="64"/>
      <c r="Z5" s="64"/>
    </row>
    <row r="6" spans="1:26" ht="18.75">
      <c r="A6" s="107" t="s">
        <v>231</v>
      </c>
      <c r="B6" s="64">
        <v>2300</v>
      </c>
      <c r="C6" s="64">
        <v>2000</v>
      </c>
      <c r="D6" s="86">
        <f>ROUND((155000/1.1),-2)</f>
        <v>140900</v>
      </c>
      <c r="E6" s="64">
        <v>25</v>
      </c>
      <c r="F6" s="65">
        <f>ROUND(($D$6+$B$6*E6),-3)</f>
        <v>198000</v>
      </c>
      <c r="G6" s="64">
        <v>37</v>
      </c>
      <c r="H6" s="65">
        <f>$D$6+$B$6*G6</f>
        <v>226000</v>
      </c>
      <c r="I6" s="65">
        <f t="shared" si="0"/>
        <v>43</v>
      </c>
      <c r="J6" s="65">
        <f>$D$6+$B$6*I6</f>
        <v>239800</v>
      </c>
      <c r="K6" s="65">
        <v>79000</v>
      </c>
      <c r="L6" s="64">
        <v>55</v>
      </c>
      <c r="M6" s="64">
        <f>$K$6+$B$6*L6</f>
        <v>205500</v>
      </c>
      <c r="N6" s="64">
        <v>65</v>
      </c>
      <c r="O6" s="64">
        <f>$K$6+$B$6*N6</f>
        <v>228500</v>
      </c>
      <c r="P6" s="65">
        <f>ROUND(90000/1.1,-2)</f>
        <v>81800</v>
      </c>
      <c r="Q6" s="64">
        <v>27</v>
      </c>
      <c r="R6" s="64">
        <f>$P$6+$B$6*Q6</f>
        <v>143900</v>
      </c>
      <c r="S6" s="64">
        <v>37</v>
      </c>
      <c r="T6" s="64">
        <f>$P$6+$B$6*S6</f>
        <v>166900</v>
      </c>
      <c r="U6" s="64">
        <v>50</v>
      </c>
      <c r="V6" s="64">
        <f>$P$6+$B$6*U6</f>
        <v>196800</v>
      </c>
      <c r="W6" s="64">
        <v>45</v>
      </c>
      <c r="X6" s="64">
        <f>$P$6+$B$6*W6</f>
        <v>185300</v>
      </c>
      <c r="Y6" s="64"/>
      <c r="Z6" s="64"/>
    </row>
    <row r="7" spans="1:26" ht="18.75">
      <c r="A7" s="107" t="s">
        <v>232</v>
      </c>
      <c r="B7" s="64">
        <v>2300</v>
      </c>
      <c r="C7" s="64">
        <v>2000</v>
      </c>
      <c r="D7" s="86">
        <f>ROUND((150000/1.1),-2)</f>
        <v>136400</v>
      </c>
      <c r="E7" s="64">
        <v>25</v>
      </c>
      <c r="F7" s="65">
        <f>$D$7+$B$7*E7</f>
        <v>193900</v>
      </c>
      <c r="G7" s="64">
        <v>37</v>
      </c>
      <c r="H7" s="65">
        <f>$D$7+$B$7*G7</f>
        <v>221500</v>
      </c>
      <c r="I7" s="65">
        <f t="shared" si="0"/>
        <v>43</v>
      </c>
      <c r="J7" s="65">
        <f>$D$7+$B$7*I7</f>
        <v>235300</v>
      </c>
      <c r="K7" s="65">
        <v>79000</v>
      </c>
      <c r="L7" s="64">
        <v>55</v>
      </c>
      <c r="M7" s="64">
        <f>$K$7+$B$7*L7</f>
        <v>205500</v>
      </c>
      <c r="N7" s="64">
        <v>65</v>
      </c>
      <c r="O7" s="64">
        <f>$K$7+$B$7*N7</f>
        <v>228500</v>
      </c>
      <c r="P7" s="65">
        <f>ROUND(87000/1.1,-2)</f>
        <v>79100</v>
      </c>
      <c r="Q7" s="64">
        <v>27</v>
      </c>
      <c r="R7" s="64">
        <f>$P$7+$B$7*Q7</f>
        <v>141200</v>
      </c>
      <c r="S7" s="64">
        <v>37</v>
      </c>
      <c r="T7" s="64">
        <f>$P$7+$B$7*S7</f>
        <v>164200</v>
      </c>
      <c r="U7" s="64">
        <v>50</v>
      </c>
      <c r="V7" s="64">
        <f>$P$7+$B$7*U7</f>
        <v>194100</v>
      </c>
      <c r="W7" s="64">
        <v>45</v>
      </c>
      <c r="X7" s="64">
        <f>$P$7+$B$7*W7</f>
        <v>182600</v>
      </c>
      <c r="Y7" s="64"/>
      <c r="Z7" s="64"/>
    </row>
    <row r="8" spans="1:26" ht="18.75">
      <c r="A8" s="107" t="s">
        <v>233</v>
      </c>
      <c r="B8" s="64">
        <v>2300</v>
      </c>
      <c r="C8" s="64">
        <v>2000</v>
      </c>
      <c r="D8" s="86">
        <f>ROUND((140000/1.1),-2)</f>
        <v>127300</v>
      </c>
      <c r="E8" s="64">
        <v>25</v>
      </c>
      <c r="F8" s="65">
        <f>$D$8+$B$8*E8</f>
        <v>184800</v>
      </c>
      <c r="G8" s="64">
        <v>37</v>
      </c>
      <c r="H8" s="65">
        <f>$D$8+$B$8*G8</f>
        <v>212400</v>
      </c>
      <c r="I8" s="65">
        <f t="shared" si="0"/>
        <v>43</v>
      </c>
      <c r="J8" s="65">
        <f>$D$8+$B$8*I8</f>
        <v>226200</v>
      </c>
      <c r="K8" s="65">
        <v>67000</v>
      </c>
      <c r="L8" s="64">
        <v>55</v>
      </c>
      <c r="M8" s="64">
        <f>$K$8+$B$8*L8</f>
        <v>193500</v>
      </c>
      <c r="N8" s="64">
        <v>65</v>
      </c>
      <c r="O8" s="64">
        <f>$K$8+$B$8*N8</f>
        <v>216500</v>
      </c>
      <c r="P8" s="65">
        <f>ROUND(85000/1.1,-2)</f>
        <v>77300</v>
      </c>
      <c r="Q8" s="64">
        <v>27</v>
      </c>
      <c r="R8" s="64">
        <f>$P$8+$B$8*Q8</f>
        <v>139400</v>
      </c>
      <c r="S8" s="64">
        <v>37</v>
      </c>
      <c r="T8" s="64">
        <f>$P$8+$B$8*S8</f>
        <v>162400</v>
      </c>
      <c r="U8" s="64">
        <v>50</v>
      </c>
      <c r="V8" s="64">
        <f>$P$8+$B$8*U8</f>
        <v>192300</v>
      </c>
      <c r="W8" s="64">
        <v>45</v>
      </c>
      <c r="X8" s="64">
        <f>$P$8+$B$8*W8</f>
        <v>180800</v>
      </c>
      <c r="Y8" s="64"/>
      <c r="Z8" s="64"/>
    </row>
    <row r="9" spans="1:26" ht="18.75">
      <c r="A9" s="107" t="s">
        <v>234</v>
      </c>
      <c r="B9" s="64">
        <v>2300</v>
      </c>
      <c r="C9" s="64">
        <v>2000</v>
      </c>
      <c r="D9" s="86">
        <f>ROUND((115000/1.1),-2)</f>
        <v>104500</v>
      </c>
      <c r="E9" s="64">
        <v>25</v>
      </c>
      <c r="F9" s="65">
        <f>$D$9+$B$9*E9</f>
        <v>162000</v>
      </c>
      <c r="G9" s="64">
        <v>37</v>
      </c>
      <c r="H9" s="65">
        <f>$D$9+$B$9*G9</f>
        <v>189600</v>
      </c>
      <c r="I9" s="65">
        <f t="shared" si="0"/>
        <v>43</v>
      </c>
      <c r="J9" s="65">
        <f>$D$9+$B$9*I9</f>
        <v>203400</v>
      </c>
      <c r="K9" s="65">
        <v>63000</v>
      </c>
      <c r="L9" s="64">
        <v>55</v>
      </c>
      <c r="M9" s="64">
        <f>$K$9+$B$9*L9</f>
        <v>189500</v>
      </c>
      <c r="N9" s="64">
        <v>65</v>
      </c>
      <c r="O9" s="64">
        <f>$K$9+$B$9*N9</f>
        <v>212500</v>
      </c>
      <c r="P9" s="65">
        <f>ROUND(69000/1.1,-2)</f>
        <v>62700</v>
      </c>
      <c r="Q9" s="64">
        <v>27</v>
      </c>
      <c r="R9" s="64">
        <f>$P$9+$B$9*Q9</f>
        <v>124800</v>
      </c>
      <c r="S9" s="64">
        <v>37</v>
      </c>
      <c r="T9" s="64">
        <f>$P$9+$B$9*S9</f>
        <v>147800</v>
      </c>
      <c r="U9" s="64">
        <v>50</v>
      </c>
      <c r="V9" s="64">
        <f>$P$9+$B$9*U9</f>
        <v>177700</v>
      </c>
      <c r="W9" s="64">
        <v>45</v>
      </c>
      <c r="X9" s="64">
        <f>$P$9+$B$9*W9</f>
        <v>166200</v>
      </c>
      <c r="Y9" s="64"/>
      <c r="Z9" s="64"/>
    </row>
    <row r="10" spans="1:26" ht="18.75">
      <c r="A10" s="107" t="s">
        <v>235</v>
      </c>
      <c r="B10" s="64">
        <v>2300</v>
      </c>
      <c r="C10" s="64">
        <v>2000</v>
      </c>
      <c r="D10" s="86">
        <f>ROUND((100000/1.1),-2)</f>
        <v>90900</v>
      </c>
      <c r="E10" s="64">
        <v>25</v>
      </c>
      <c r="F10" s="65">
        <f>$D$10+$B$10*E10</f>
        <v>148400</v>
      </c>
      <c r="G10" s="64">
        <v>37</v>
      </c>
      <c r="H10" s="65">
        <f>$D$10+$B$10*G10</f>
        <v>176000</v>
      </c>
      <c r="I10" s="65">
        <f t="shared" si="0"/>
        <v>43</v>
      </c>
      <c r="J10" s="65">
        <f>$D$10+$B$10*I10</f>
        <v>189800</v>
      </c>
      <c r="K10" s="65">
        <f>ROUND(52000/1.1,-2)</f>
        <v>47300</v>
      </c>
      <c r="L10" s="64">
        <v>55</v>
      </c>
      <c r="M10" s="64">
        <f>$K$10+$B$10*L10</f>
        <v>173800</v>
      </c>
      <c r="N10" s="64">
        <v>65</v>
      </c>
      <c r="O10" s="64">
        <f>$K$10+$B$10*N10</f>
        <v>196800</v>
      </c>
      <c r="P10" s="65">
        <f>ROUND(52000/1.1,-2)</f>
        <v>47300</v>
      </c>
      <c r="Q10" s="64">
        <v>27</v>
      </c>
      <c r="R10" s="64">
        <f>$P$10+$B$10*Q10</f>
        <v>109400</v>
      </c>
      <c r="S10" s="64">
        <v>37</v>
      </c>
      <c r="T10" s="64">
        <f>$P$10+$B$10*S10</f>
        <v>132400</v>
      </c>
      <c r="U10" s="64">
        <v>50</v>
      </c>
      <c r="V10" s="64">
        <f>$P$10+$B$10*U10</f>
        <v>162300</v>
      </c>
      <c r="W10" s="64">
        <v>45</v>
      </c>
      <c r="X10" s="64">
        <f>$P$10+$B$10*W10</f>
        <v>150800</v>
      </c>
      <c r="Y10" s="64"/>
      <c r="Z10" s="64"/>
    </row>
    <row r="11" spans="1:26" ht="18">
      <c r="A11" s="71"/>
      <c r="B11" s="71"/>
      <c r="C11" s="71"/>
      <c r="D11" s="72"/>
      <c r="E11" s="71"/>
      <c r="F11" s="72"/>
      <c r="G11" s="71"/>
      <c r="H11" s="72"/>
      <c r="I11" s="72"/>
      <c r="J11" s="72"/>
      <c r="K11" s="72"/>
      <c r="L11" s="71"/>
      <c r="M11" s="71"/>
      <c r="N11" s="71"/>
      <c r="O11" s="71"/>
      <c r="P11" s="72"/>
      <c r="Q11" s="71"/>
      <c r="R11" s="71"/>
      <c r="S11" s="71"/>
      <c r="T11" s="71"/>
      <c r="U11" s="71"/>
      <c r="V11" s="71"/>
      <c r="W11" s="71"/>
      <c r="X11" s="71"/>
      <c r="Y11" s="71"/>
      <c r="Z11" s="71"/>
    </row>
    <row r="12" spans="1:13" ht="18.75">
      <c r="A12" s="73" t="s">
        <v>274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5"/>
    </row>
    <row r="13" spans="1:13" ht="18.75">
      <c r="A13" s="64" t="s">
        <v>270</v>
      </c>
      <c r="B13" s="67" t="s">
        <v>255</v>
      </c>
      <c r="C13" s="64"/>
      <c r="D13" s="416" t="s">
        <v>269</v>
      </c>
      <c r="E13" s="416"/>
      <c r="F13" s="416"/>
      <c r="G13" s="416"/>
      <c r="H13" s="416"/>
      <c r="I13" s="416"/>
      <c r="J13" s="416"/>
      <c r="K13" s="416"/>
      <c r="L13" s="416"/>
      <c r="M13" s="416"/>
    </row>
    <row r="14" spans="1:13" ht="18" customHeight="1">
      <c r="A14" s="64"/>
      <c r="B14" s="67"/>
      <c r="C14" s="64"/>
      <c r="D14" s="414" t="s">
        <v>517</v>
      </c>
      <c r="E14" s="414" t="s">
        <v>518</v>
      </c>
      <c r="F14" s="414" t="s">
        <v>519</v>
      </c>
      <c r="G14" s="414" t="s">
        <v>520</v>
      </c>
      <c r="H14" s="414" t="s">
        <v>521</v>
      </c>
      <c r="I14" s="414" t="s">
        <v>522</v>
      </c>
      <c r="J14" s="414" t="s">
        <v>523</v>
      </c>
      <c r="K14" s="414" t="s">
        <v>524</v>
      </c>
      <c r="L14" s="414" t="s">
        <v>525</v>
      </c>
      <c r="M14" s="419" t="s">
        <v>526</v>
      </c>
    </row>
    <row r="15" spans="1:13" ht="18" customHeight="1" thickBot="1">
      <c r="A15" s="64"/>
      <c r="B15" s="67"/>
      <c r="C15" s="64"/>
      <c r="D15" s="415"/>
      <c r="E15" s="415"/>
      <c r="F15" s="415"/>
      <c r="G15" s="415"/>
      <c r="H15" s="415"/>
      <c r="I15" s="415"/>
      <c r="J15" s="415"/>
      <c r="K15" s="415"/>
      <c r="L15" s="415"/>
      <c r="M15" s="420"/>
    </row>
    <row r="16" spans="1:13" ht="18.75" thickTop="1">
      <c r="A16" s="64" t="s">
        <v>230</v>
      </c>
      <c r="B16" s="86">
        <f>ROUND((140000/1.1),-2)</f>
        <v>127300</v>
      </c>
      <c r="C16" s="64"/>
      <c r="D16" s="65">
        <f>B16+$D$26</f>
        <v>267300</v>
      </c>
      <c r="E16" s="65">
        <f>$B$16+E26</f>
        <v>297300</v>
      </c>
      <c r="F16" s="65">
        <f aca="true" t="shared" si="1" ref="F16:M16">$B$16+F26</f>
        <v>321300</v>
      </c>
      <c r="G16" s="65">
        <f t="shared" si="1"/>
        <v>299300</v>
      </c>
      <c r="H16" s="65">
        <f t="shared" si="1"/>
        <v>303300</v>
      </c>
      <c r="I16" s="65">
        <f>$B$16+I26</f>
        <v>247300</v>
      </c>
      <c r="J16" s="65">
        <f t="shared" si="1"/>
        <v>271300</v>
      </c>
      <c r="K16" s="65">
        <f t="shared" si="1"/>
        <v>275300</v>
      </c>
      <c r="L16" s="65">
        <f t="shared" si="1"/>
        <v>257300</v>
      </c>
      <c r="M16" s="65">
        <f t="shared" si="1"/>
        <v>283300</v>
      </c>
    </row>
    <row r="17" spans="1:13" ht="18">
      <c r="A17" s="64" t="s">
        <v>231</v>
      </c>
      <c r="B17" s="86">
        <f>ROUND((155000/1.1),-2)</f>
        <v>140900</v>
      </c>
      <c r="C17" s="64"/>
      <c r="D17" s="65">
        <f aca="true" t="shared" si="2" ref="D17:M17">$B$17+D26</f>
        <v>280900</v>
      </c>
      <c r="E17" s="65">
        <f t="shared" si="2"/>
        <v>310900</v>
      </c>
      <c r="F17" s="65">
        <f t="shared" si="2"/>
        <v>334900</v>
      </c>
      <c r="G17" s="65">
        <f t="shared" si="2"/>
        <v>312900</v>
      </c>
      <c r="H17" s="65">
        <f t="shared" si="2"/>
        <v>316900</v>
      </c>
      <c r="I17" s="65">
        <f t="shared" si="2"/>
        <v>260900</v>
      </c>
      <c r="J17" s="65">
        <f t="shared" si="2"/>
        <v>284900</v>
      </c>
      <c r="K17" s="65">
        <f t="shared" si="2"/>
        <v>288900</v>
      </c>
      <c r="L17" s="65">
        <f t="shared" si="2"/>
        <v>270900</v>
      </c>
      <c r="M17" s="65">
        <f t="shared" si="2"/>
        <v>296900</v>
      </c>
    </row>
    <row r="18" spans="1:13" ht="18">
      <c r="A18" s="64" t="s">
        <v>232</v>
      </c>
      <c r="B18" s="86">
        <f>ROUND((150000/1.1),-2)</f>
        <v>136400</v>
      </c>
      <c r="C18" s="64"/>
      <c r="D18" s="65">
        <f aca="true" t="shared" si="3" ref="D18:M18">$B$18+D26</f>
        <v>276400</v>
      </c>
      <c r="E18" s="65">
        <f t="shared" si="3"/>
        <v>306400</v>
      </c>
      <c r="F18" s="65">
        <f t="shared" si="3"/>
        <v>330400</v>
      </c>
      <c r="G18" s="65">
        <f t="shared" si="3"/>
        <v>308400</v>
      </c>
      <c r="H18" s="65">
        <f t="shared" si="3"/>
        <v>312400</v>
      </c>
      <c r="I18" s="65">
        <f t="shared" si="3"/>
        <v>256400</v>
      </c>
      <c r="J18" s="65">
        <f t="shared" si="3"/>
        <v>280400</v>
      </c>
      <c r="K18" s="65">
        <f t="shared" si="3"/>
        <v>284400</v>
      </c>
      <c r="L18" s="65">
        <f t="shared" si="3"/>
        <v>266400</v>
      </c>
      <c r="M18" s="65">
        <f t="shared" si="3"/>
        <v>292400</v>
      </c>
    </row>
    <row r="19" spans="1:13" ht="18">
      <c r="A19" s="64" t="s">
        <v>233</v>
      </c>
      <c r="B19" s="86">
        <f>ROUND((140000/1.1),-2)</f>
        <v>127300</v>
      </c>
      <c r="C19" s="64"/>
      <c r="D19" s="65">
        <f aca="true" t="shared" si="4" ref="D19:M19">$B$19+D26</f>
        <v>267300</v>
      </c>
      <c r="E19" s="65">
        <f t="shared" si="4"/>
        <v>297300</v>
      </c>
      <c r="F19" s="65">
        <f t="shared" si="4"/>
        <v>321300</v>
      </c>
      <c r="G19" s="65">
        <f t="shared" si="4"/>
        <v>299300</v>
      </c>
      <c r="H19" s="65">
        <f t="shared" si="4"/>
        <v>303300</v>
      </c>
      <c r="I19" s="65">
        <f t="shared" si="4"/>
        <v>247300</v>
      </c>
      <c r="J19" s="65">
        <f t="shared" si="4"/>
        <v>271300</v>
      </c>
      <c r="K19" s="65">
        <f t="shared" si="4"/>
        <v>275300</v>
      </c>
      <c r="L19" s="65">
        <f t="shared" si="4"/>
        <v>257300</v>
      </c>
      <c r="M19" s="65">
        <f t="shared" si="4"/>
        <v>283300</v>
      </c>
    </row>
    <row r="20" spans="1:13" ht="18">
      <c r="A20" s="64" t="s">
        <v>234</v>
      </c>
      <c r="B20" s="86">
        <f>ROUND((115000/1.1),-2)</f>
        <v>104500</v>
      </c>
      <c r="C20" s="64"/>
      <c r="D20" s="65">
        <f aca="true" t="shared" si="5" ref="D20:M20">$B$20+D26</f>
        <v>244500</v>
      </c>
      <c r="E20" s="65">
        <f t="shared" si="5"/>
        <v>274500</v>
      </c>
      <c r="F20" s="65">
        <f t="shared" si="5"/>
        <v>298500</v>
      </c>
      <c r="G20" s="65">
        <f t="shared" si="5"/>
        <v>276500</v>
      </c>
      <c r="H20" s="65">
        <f>$B$20+H26</f>
        <v>280500</v>
      </c>
      <c r="I20" s="65">
        <f t="shared" si="5"/>
        <v>224500</v>
      </c>
      <c r="J20" s="65">
        <f t="shared" si="5"/>
        <v>248500</v>
      </c>
      <c r="K20" s="65">
        <f t="shared" si="5"/>
        <v>252500</v>
      </c>
      <c r="L20" s="65">
        <f t="shared" si="5"/>
        <v>234500</v>
      </c>
      <c r="M20" s="65">
        <f t="shared" si="5"/>
        <v>260500</v>
      </c>
    </row>
    <row r="21" spans="1:13" ht="18">
      <c r="A21" s="64" t="s">
        <v>235</v>
      </c>
      <c r="B21" s="86">
        <f>ROUND((100000/1.1),-2)</f>
        <v>90900</v>
      </c>
      <c r="C21" s="64"/>
      <c r="D21" s="65">
        <f aca="true" t="shared" si="6" ref="D21:M21">$B$21+D26</f>
        <v>230900</v>
      </c>
      <c r="E21" s="65">
        <f t="shared" si="6"/>
        <v>260900</v>
      </c>
      <c r="F21" s="65">
        <f t="shared" si="6"/>
        <v>284900</v>
      </c>
      <c r="G21" s="65">
        <f t="shared" si="6"/>
        <v>262900</v>
      </c>
      <c r="H21" s="65">
        <f>$B$21+H26</f>
        <v>266900</v>
      </c>
      <c r="I21" s="65">
        <f t="shared" si="6"/>
        <v>210900</v>
      </c>
      <c r="J21" s="65">
        <f t="shared" si="6"/>
        <v>234900</v>
      </c>
      <c r="K21" s="65">
        <f t="shared" si="6"/>
        <v>238900</v>
      </c>
      <c r="L21" s="65">
        <f t="shared" si="6"/>
        <v>220900</v>
      </c>
      <c r="M21" s="65">
        <f t="shared" si="6"/>
        <v>246900</v>
      </c>
    </row>
    <row r="22" spans="1:13" ht="18">
      <c r="A22" s="64"/>
      <c r="B22" s="65"/>
      <c r="C22" s="64"/>
      <c r="D22" s="65"/>
      <c r="E22" s="64"/>
      <c r="F22" s="65"/>
      <c r="G22" s="64"/>
      <c r="H22" s="65"/>
      <c r="I22" s="65"/>
      <c r="J22" s="65"/>
      <c r="K22" s="64"/>
      <c r="L22" s="64"/>
      <c r="M22" s="64"/>
    </row>
    <row r="23" spans="1:13" ht="18.75">
      <c r="A23" s="64"/>
      <c r="B23" s="64"/>
      <c r="C23" s="64"/>
      <c r="D23" s="416" t="s">
        <v>271</v>
      </c>
      <c r="E23" s="416"/>
      <c r="F23" s="416"/>
      <c r="G23" s="416"/>
      <c r="H23" s="416"/>
      <c r="I23" s="416"/>
      <c r="J23" s="416"/>
      <c r="K23" s="416"/>
      <c r="L23" s="416"/>
      <c r="M23" s="416"/>
    </row>
    <row r="24" spans="1:13" ht="18.75">
      <c r="A24" s="64"/>
      <c r="B24" s="64" t="s">
        <v>272</v>
      </c>
      <c r="C24" s="64"/>
      <c r="D24" s="68" t="s">
        <v>260</v>
      </c>
      <c r="E24" s="68" t="s">
        <v>262</v>
      </c>
      <c r="F24" s="69" t="s">
        <v>263</v>
      </c>
      <c r="G24" s="68" t="s">
        <v>264</v>
      </c>
      <c r="H24" s="69" t="s">
        <v>261</v>
      </c>
      <c r="I24" s="69" t="s">
        <v>265</v>
      </c>
      <c r="J24" s="69" t="s">
        <v>266</v>
      </c>
      <c r="K24" s="68" t="s">
        <v>267</v>
      </c>
      <c r="L24" s="68" t="s">
        <v>266</v>
      </c>
      <c r="M24" s="68" t="s">
        <v>268</v>
      </c>
    </row>
    <row r="25" spans="1:13" ht="18">
      <c r="A25" s="64"/>
      <c r="B25" s="70"/>
      <c r="C25" s="64"/>
      <c r="D25" s="65">
        <v>70</v>
      </c>
      <c r="E25" s="64">
        <v>85</v>
      </c>
      <c r="F25" s="65">
        <v>97</v>
      </c>
      <c r="G25" s="64">
        <v>86</v>
      </c>
      <c r="H25" s="65">
        <v>88</v>
      </c>
      <c r="I25" s="65">
        <v>60</v>
      </c>
      <c r="J25" s="65">
        <v>72</v>
      </c>
      <c r="K25" s="64">
        <f>52+22</f>
        <v>74</v>
      </c>
      <c r="L25" s="64">
        <v>65</v>
      </c>
      <c r="M25" s="64">
        <v>78</v>
      </c>
    </row>
    <row r="26" spans="1:15" ht="18">
      <c r="A26" s="64"/>
      <c r="B26" s="70">
        <v>2000</v>
      </c>
      <c r="C26" s="64"/>
      <c r="D26" s="65">
        <f>ROUND((D25*$B$26),-3)</f>
        <v>140000</v>
      </c>
      <c r="E26" s="65">
        <f>ROUND((E25*$B$26),-3)</f>
        <v>170000</v>
      </c>
      <c r="F26" s="65">
        <f>ROUND((F25*$B$26),-3)</f>
        <v>194000</v>
      </c>
      <c r="G26" s="65">
        <f aca="true" t="shared" si="7" ref="G26:M26">ROUND((G25*$B$26),-3)</f>
        <v>172000</v>
      </c>
      <c r="H26" s="65">
        <f>ROUND((H25*$B$26),-3)</f>
        <v>176000</v>
      </c>
      <c r="I26" s="65">
        <f t="shared" si="7"/>
        <v>120000</v>
      </c>
      <c r="J26" s="65">
        <f t="shared" si="7"/>
        <v>144000</v>
      </c>
      <c r="K26" s="65">
        <f t="shared" si="7"/>
        <v>148000</v>
      </c>
      <c r="L26" s="65">
        <f t="shared" si="7"/>
        <v>130000</v>
      </c>
      <c r="M26" s="65">
        <f t="shared" si="7"/>
        <v>156000</v>
      </c>
      <c r="O26" s="62">
        <f>1700/1.1</f>
        <v>1545.4545454545453</v>
      </c>
    </row>
    <row r="28" spans="1:13" ht="18.75">
      <c r="A28" s="73" t="s">
        <v>273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5"/>
    </row>
    <row r="29" spans="1:13" ht="18">
      <c r="A29" s="64"/>
      <c r="B29" s="64"/>
      <c r="C29" s="64"/>
      <c r="D29" s="86">
        <v>45</v>
      </c>
      <c r="E29" s="92">
        <v>55</v>
      </c>
      <c r="F29" s="86">
        <v>67</v>
      </c>
      <c r="G29" s="92">
        <v>55</v>
      </c>
      <c r="H29" s="86">
        <v>57</v>
      </c>
      <c r="I29" s="86">
        <v>30</v>
      </c>
      <c r="J29" s="86">
        <v>42</v>
      </c>
      <c r="K29" s="92">
        <v>44</v>
      </c>
      <c r="L29" s="92">
        <v>62</v>
      </c>
      <c r="M29" s="92">
        <v>102</v>
      </c>
    </row>
    <row r="30" spans="1:13" ht="18">
      <c r="A30" s="64" t="s">
        <v>270</v>
      </c>
      <c r="B30" s="67" t="s">
        <v>255</v>
      </c>
      <c r="C30" s="64"/>
      <c r="D30" s="91">
        <f>ROUND((D29*$D$31),-3)</f>
        <v>90000</v>
      </c>
      <c r="E30" s="91">
        <f>ROUND((E29*$D$31),-3)</f>
        <v>110000</v>
      </c>
      <c r="F30" s="91">
        <f aca="true" t="shared" si="8" ref="F30:M30">ROUND((F29*$D$31),-3)</f>
        <v>134000</v>
      </c>
      <c r="G30" s="91">
        <f t="shared" si="8"/>
        <v>110000</v>
      </c>
      <c r="H30" s="91">
        <f>ROUND((H29*$D$31),-3)</f>
        <v>114000</v>
      </c>
      <c r="I30" s="91">
        <f t="shared" si="8"/>
        <v>60000</v>
      </c>
      <c r="J30" s="91">
        <f t="shared" si="8"/>
        <v>84000</v>
      </c>
      <c r="K30" s="91">
        <f t="shared" si="8"/>
        <v>88000</v>
      </c>
      <c r="L30" s="91">
        <f t="shared" si="8"/>
        <v>124000</v>
      </c>
      <c r="M30" s="91">
        <f t="shared" si="8"/>
        <v>204000</v>
      </c>
    </row>
    <row r="31" spans="1:13" ht="18">
      <c r="A31" s="64"/>
      <c r="B31" s="67"/>
      <c r="C31" s="64"/>
      <c r="D31" s="65">
        <v>2000</v>
      </c>
      <c r="E31" s="64"/>
      <c r="F31" s="65"/>
      <c r="G31" s="64"/>
      <c r="H31" s="65"/>
      <c r="I31" s="65"/>
      <c r="J31" s="65"/>
      <c r="K31" s="64"/>
      <c r="L31" s="64"/>
      <c r="M31" s="64"/>
    </row>
    <row r="32" spans="1:13" ht="18">
      <c r="A32" s="64" t="s">
        <v>230</v>
      </c>
      <c r="B32" s="86">
        <f>ROUND((140000/1.1),-2)</f>
        <v>127300</v>
      </c>
      <c r="C32" s="64"/>
      <c r="D32" s="65">
        <f>$B$32+D30</f>
        <v>217300</v>
      </c>
      <c r="E32" s="65">
        <f aca="true" t="shared" si="9" ref="E32:M32">$B$32+E30</f>
        <v>237300</v>
      </c>
      <c r="F32" s="65">
        <f t="shared" si="9"/>
        <v>261300</v>
      </c>
      <c r="G32" s="65">
        <f t="shared" si="9"/>
        <v>237300</v>
      </c>
      <c r="H32" s="65">
        <f>$B$32+H30</f>
        <v>241300</v>
      </c>
      <c r="I32" s="65">
        <f t="shared" si="9"/>
        <v>187300</v>
      </c>
      <c r="J32" s="65">
        <f t="shared" si="9"/>
        <v>211300</v>
      </c>
      <c r="K32" s="65">
        <f t="shared" si="9"/>
        <v>215300</v>
      </c>
      <c r="L32" s="65">
        <f t="shared" si="9"/>
        <v>251300</v>
      </c>
      <c r="M32" s="65">
        <f t="shared" si="9"/>
        <v>331300</v>
      </c>
    </row>
    <row r="33" spans="1:13" ht="18">
      <c r="A33" s="64" t="s">
        <v>231</v>
      </c>
      <c r="B33" s="86">
        <f>ROUND((155000/1.1),-2)</f>
        <v>140900</v>
      </c>
      <c r="C33" s="64"/>
      <c r="D33" s="65">
        <f>$B$33+D30</f>
        <v>230900</v>
      </c>
      <c r="E33" s="65">
        <f>$B$33+E30</f>
        <v>250900</v>
      </c>
      <c r="F33" s="65">
        <f aca="true" t="shared" si="10" ref="F33:M33">$B$33+F30</f>
        <v>274900</v>
      </c>
      <c r="G33" s="65">
        <f t="shared" si="10"/>
        <v>250900</v>
      </c>
      <c r="H33" s="65">
        <f>$B$33+H30</f>
        <v>254900</v>
      </c>
      <c r="I33" s="65">
        <f t="shared" si="10"/>
        <v>200900</v>
      </c>
      <c r="J33" s="65">
        <f t="shared" si="10"/>
        <v>224900</v>
      </c>
      <c r="K33" s="65">
        <f t="shared" si="10"/>
        <v>228900</v>
      </c>
      <c r="L33" s="65">
        <f t="shared" si="10"/>
        <v>264900</v>
      </c>
      <c r="M33" s="65">
        <f t="shared" si="10"/>
        <v>344900</v>
      </c>
    </row>
    <row r="34" spans="1:13" ht="18">
      <c r="A34" s="64" t="s">
        <v>232</v>
      </c>
      <c r="B34" s="86">
        <f>ROUND((150000/1.1),-2)</f>
        <v>136400</v>
      </c>
      <c r="C34" s="64"/>
      <c r="D34" s="65">
        <f>$B$34+D30</f>
        <v>226400</v>
      </c>
      <c r="E34" s="65">
        <f aca="true" t="shared" si="11" ref="E34:M34">$B$34+E30</f>
        <v>246400</v>
      </c>
      <c r="F34" s="65">
        <f t="shared" si="11"/>
        <v>270400</v>
      </c>
      <c r="G34" s="65">
        <f t="shared" si="11"/>
        <v>246400</v>
      </c>
      <c r="H34" s="65">
        <f t="shared" si="11"/>
        <v>250400</v>
      </c>
      <c r="I34" s="65">
        <f t="shared" si="11"/>
        <v>196400</v>
      </c>
      <c r="J34" s="65">
        <f t="shared" si="11"/>
        <v>220400</v>
      </c>
      <c r="K34" s="65">
        <f t="shared" si="11"/>
        <v>224400</v>
      </c>
      <c r="L34" s="65">
        <f t="shared" si="11"/>
        <v>260400</v>
      </c>
      <c r="M34" s="65">
        <f t="shared" si="11"/>
        <v>340400</v>
      </c>
    </row>
    <row r="35" spans="1:13" ht="18">
      <c r="A35" s="64" t="s">
        <v>233</v>
      </c>
      <c r="B35" s="86">
        <f>ROUND((140000/1.1),-2)</f>
        <v>127300</v>
      </c>
      <c r="C35" s="64"/>
      <c r="D35" s="65">
        <f>$B$35+D30</f>
        <v>217300</v>
      </c>
      <c r="E35" s="65">
        <f aca="true" t="shared" si="12" ref="E35:M35">$B$35+E30</f>
        <v>237300</v>
      </c>
      <c r="F35" s="65">
        <f t="shared" si="12"/>
        <v>261300</v>
      </c>
      <c r="G35" s="65">
        <f t="shared" si="12"/>
        <v>237300</v>
      </c>
      <c r="H35" s="65">
        <f t="shared" si="12"/>
        <v>241300</v>
      </c>
      <c r="I35" s="65">
        <f t="shared" si="12"/>
        <v>187300</v>
      </c>
      <c r="J35" s="65">
        <f t="shared" si="12"/>
        <v>211300</v>
      </c>
      <c r="K35" s="65">
        <f t="shared" si="12"/>
        <v>215300</v>
      </c>
      <c r="L35" s="65">
        <f t="shared" si="12"/>
        <v>251300</v>
      </c>
      <c r="M35" s="65">
        <f t="shared" si="12"/>
        <v>331300</v>
      </c>
    </row>
    <row r="36" spans="1:13" ht="18">
      <c r="A36" s="64" t="s">
        <v>234</v>
      </c>
      <c r="B36" s="86">
        <f>ROUND((115000/1.1),-2)</f>
        <v>104500</v>
      </c>
      <c r="C36" s="64"/>
      <c r="D36" s="65">
        <f>$B$36+D30</f>
        <v>194500</v>
      </c>
      <c r="E36" s="65">
        <f aca="true" t="shared" si="13" ref="E36:M36">$B$36+E30</f>
        <v>214500</v>
      </c>
      <c r="F36" s="65">
        <f t="shared" si="13"/>
        <v>238500</v>
      </c>
      <c r="G36" s="65">
        <f t="shared" si="13"/>
        <v>214500</v>
      </c>
      <c r="H36" s="65">
        <f>$B$36+H30</f>
        <v>218500</v>
      </c>
      <c r="I36" s="65">
        <f t="shared" si="13"/>
        <v>164500</v>
      </c>
      <c r="J36" s="65">
        <f>$B$36+J30</f>
        <v>188500</v>
      </c>
      <c r="K36" s="65">
        <f t="shared" si="13"/>
        <v>192500</v>
      </c>
      <c r="L36" s="65">
        <f t="shared" si="13"/>
        <v>228500</v>
      </c>
      <c r="M36" s="65">
        <f t="shared" si="13"/>
        <v>308500</v>
      </c>
    </row>
    <row r="37" spans="1:13" ht="18">
      <c r="A37" s="64" t="s">
        <v>235</v>
      </c>
      <c r="B37" s="86">
        <f>ROUND((100000/1.1),-2)</f>
        <v>90900</v>
      </c>
      <c r="C37" s="64"/>
      <c r="D37" s="65">
        <f>$B$37+D30</f>
        <v>180900</v>
      </c>
      <c r="E37" s="65">
        <f aca="true" t="shared" si="14" ref="E37:M37">$B$37+E30</f>
        <v>200900</v>
      </c>
      <c r="F37" s="65">
        <f t="shared" si="14"/>
        <v>224900</v>
      </c>
      <c r="G37" s="65">
        <f t="shared" si="14"/>
        <v>200900</v>
      </c>
      <c r="H37" s="65">
        <f t="shared" si="14"/>
        <v>204900</v>
      </c>
      <c r="I37" s="65">
        <f t="shared" si="14"/>
        <v>150900</v>
      </c>
      <c r="J37" s="65">
        <f t="shared" si="14"/>
        <v>174900</v>
      </c>
      <c r="K37" s="65">
        <f t="shared" si="14"/>
        <v>178900</v>
      </c>
      <c r="L37" s="65">
        <f t="shared" si="14"/>
        <v>214900</v>
      </c>
      <c r="M37" s="65">
        <f t="shared" si="14"/>
        <v>294900</v>
      </c>
    </row>
    <row r="38" spans="1:13" ht="18">
      <c r="A38" s="64"/>
      <c r="B38" s="64"/>
      <c r="C38" s="64"/>
      <c r="D38" s="65"/>
      <c r="E38" s="64"/>
      <c r="F38" s="65"/>
      <c r="G38" s="64"/>
      <c r="H38" s="65"/>
      <c r="I38" s="65"/>
      <c r="J38" s="65"/>
      <c r="K38" s="64"/>
      <c r="L38" s="64"/>
      <c r="M38" s="64"/>
    </row>
    <row r="41" ht="18">
      <c r="F41" s="93"/>
    </row>
    <row r="42" ht="18">
      <c r="F42" s="113"/>
    </row>
    <row r="44" ht="18">
      <c r="H44" s="93"/>
    </row>
    <row r="45" ht="18">
      <c r="H45" s="93"/>
    </row>
  </sheetData>
  <sheetProtection/>
  <mergeCells count="25">
    <mergeCell ref="Y3:Z3"/>
    <mergeCell ref="Y2:Z2"/>
    <mergeCell ref="P2:X2"/>
    <mergeCell ref="Q3:R3"/>
    <mergeCell ref="S3:T3"/>
    <mergeCell ref="U3:V3"/>
    <mergeCell ref="W3:X3"/>
    <mergeCell ref="P3:P4"/>
    <mergeCell ref="D23:M23"/>
    <mergeCell ref="D13:M13"/>
    <mergeCell ref="A2:J2"/>
    <mergeCell ref="M14:M15"/>
    <mergeCell ref="D14:D15"/>
    <mergeCell ref="E14:E15"/>
    <mergeCell ref="F14:F15"/>
    <mergeCell ref="G14:G15"/>
    <mergeCell ref="H14:H15"/>
    <mergeCell ref="K3:K4"/>
    <mergeCell ref="I14:I15"/>
    <mergeCell ref="J14:J15"/>
    <mergeCell ref="K14:K15"/>
    <mergeCell ref="K2:O2"/>
    <mergeCell ref="N3:O3"/>
    <mergeCell ref="L14:L15"/>
    <mergeCell ref="L3:M3"/>
  </mergeCells>
  <printOptions/>
  <pageMargins left="0.2" right="0.2" top="0.74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734"/>
  <sheetViews>
    <sheetView zoomScale="91" zoomScaleNormal="91" zoomScalePageLayoutView="0" workbookViewId="0" topLeftCell="A1">
      <pane ySplit="4" topLeftCell="A2107" activePane="bottomLeft" state="frozen"/>
      <selection pane="topLeft" activeCell="A1" sqref="A1"/>
      <selection pane="bottomLeft" activeCell="D2036" sqref="D2036"/>
    </sheetView>
  </sheetViews>
  <sheetFormatPr defaultColWidth="8.796875" defaultRowHeight="409.5" customHeight="1"/>
  <cols>
    <col min="1" max="1" width="4.8984375" style="288" customWidth="1"/>
    <col min="2" max="2" width="50.3984375" style="115" customWidth="1"/>
    <col min="3" max="3" width="7.09765625" style="115" customWidth="1"/>
    <col min="4" max="4" width="14.3984375" style="115" customWidth="1"/>
    <col min="5" max="5" width="11.59765625" style="115" customWidth="1"/>
    <col min="6" max="16384" width="9" style="115" customWidth="1"/>
  </cols>
  <sheetData>
    <row r="1" spans="1:5" ht="42.75" customHeight="1">
      <c r="A1" s="441" t="s">
        <v>2820</v>
      </c>
      <c r="B1" s="441"/>
      <c r="C1" s="441"/>
      <c r="D1" s="441"/>
      <c r="E1" s="441"/>
    </row>
    <row r="2" spans="1:5" ht="20.25" customHeight="1">
      <c r="A2" s="442" t="s">
        <v>2821</v>
      </c>
      <c r="B2" s="442"/>
      <c r="C2" s="442"/>
      <c r="D2" s="442"/>
      <c r="E2" s="442"/>
    </row>
    <row r="3" spans="1:5" ht="16.5" customHeight="1" thickBot="1">
      <c r="A3" s="116"/>
      <c r="B3" s="117"/>
      <c r="C3" s="443" t="s">
        <v>58</v>
      </c>
      <c r="D3" s="443"/>
      <c r="E3" s="443"/>
    </row>
    <row r="4" spans="1:5" ht="35.25" customHeight="1" thickBot="1">
      <c r="A4" s="120" t="s">
        <v>378</v>
      </c>
      <c r="B4" s="120" t="s">
        <v>2348</v>
      </c>
      <c r="C4" s="120" t="s">
        <v>275</v>
      </c>
      <c r="D4" s="120" t="s">
        <v>2349</v>
      </c>
      <c r="E4" s="121" t="s">
        <v>132</v>
      </c>
    </row>
    <row r="5" spans="1:5" ht="30" customHeight="1">
      <c r="A5" s="440" t="s">
        <v>1388</v>
      </c>
      <c r="B5" s="440"/>
      <c r="C5" s="440"/>
      <c r="D5" s="440"/>
      <c r="E5" s="440"/>
    </row>
    <row r="6" spans="1:5" ht="15">
      <c r="A6" s="122" t="s">
        <v>1389</v>
      </c>
      <c r="B6" s="123" t="s">
        <v>1391</v>
      </c>
      <c r="C6" s="124"/>
      <c r="D6" s="124"/>
      <c r="E6" s="125"/>
    </row>
    <row r="7" spans="1:5" ht="15">
      <c r="A7" s="126" t="s">
        <v>380</v>
      </c>
      <c r="B7" s="127" t="s">
        <v>1390</v>
      </c>
      <c r="C7" s="128"/>
      <c r="D7" s="310" t="s">
        <v>2350</v>
      </c>
      <c r="E7" s="129"/>
    </row>
    <row r="8" spans="1:5" ht="15">
      <c r="A8" s="126"/>
      <c r="B8" s="130" t="s">
        <v>1468</v>
      </c>
      <c r="C8" s="124" t="s">
        <v>379</v>
      </c>
      <c r="D8" s="124"/>
      <c r="E8" s="312">
        <v>270613.35</v>
      </c>
    </row>
    <row r="9" spans="1:5" ht="15">
      <c r="A9" s="126"/>
      <c r="B9" s="130" t="s">
        <v>1469</v>
      </c>
      <c r="C9" s="124" t="s">
        <v>379</v>
      </c>
      <c r="D9" s="124"/>
      <c r="E9" s="312">
        <v>330750</v>
      </c>
    </row>
    <row r="10" spans="1:5" ht="15">
      <c r="A10" s="126"/>
      <c r="B10" s="130" t="s">
        <v>1470</v>
      </c>
      <c r="C10" s="124" t="s">
        <v>379</v>
      </c>
      <c r="D10" s="124"/>
      <c r="E10" s="312">
        <v>370841.1</v>
      </c>
    </row>
    <row r="11" spans="1:5" ht="15">
      <c r="A11" s="126"/>
      <c r="B11" s="130" t="s">
        <v>1471</v>
      </c>
      <c r="C11" s="124" t="s">
        <v>379</v>
      </c>
      <c r="D11" s="124"/>
      <c r="E11" s="312">
        <v>390886.65</v>
      </c>
    </row>
    <row r="12" spans="1:5" ht="15">
      <c r="A12" s="126"/>
      <c r="B12" s="130" t="s">
        <v>1472</v>
      </c>
      <c r="C12" s="124" t="s">
        <v>379</v>
      </c>
      <c r="D12" s="124"/>
      <c r="E12" s="312">
        <v>915647.25</v>
      </c>
    </row>
    <row r="13" spans="1:5" ht="15">
      <c r="A13" s="126"/>
      <c r="B13" s="130" t="s">
        <v>1473</v>
      </c>
      <c r="C13" s="124" t="s">
        <v>379</v>
      </c>
      <c r="D13" s="124"/>
      <c r="E13" s="312">
        <v>546238.35</v>
      </c>
    </row>
    <row r="14" spans="1:5" ht="15">
      <c r="A14" s="126"/>
      <c r="B14" s="130" t="s">
        <v>1474</v>
      </c>
      <c r="C14" s="124" t="s">
        <v>379</v>
      </c>
      <c r="D14" s="124"/>
      <c r="E14" s="312">
        <v>882000</v>
      </c>
    </row>
    <row r="15" spans="1:5" ht="15">
      <c r="A15" s="126"/>
      <c r="B15" s="130" t="s">
        <v>1475</v>
      </c>
      <c r="C15" s="124" t="s">
        <v>379</v>
      </c>
      <c r="D15" s="124"/>
      <c r="E15" s="312">
        <v>927102.75</v>
      </c>
    </row>
    <row r="16" spans="1:5" ht="15">
      <c r="A16" s="131"/>
      <c r="B16" s="130" t="s">
        <v>1476</v>
      </c>
      <c r="C16" s="124" t="s">
        <v>379</v>
      </c>
      <c r="D16" s="124"/>
      <c r="E16" s="312">
        <v>1508420.55</v>
      </c>
    </row>
    <row r="17" spans="1:5" ht="15">
      <c r="A17" s="132"/>
      <c r="B17" s="130" t="s">
        <v>1477</v>
      </c>
      <c r="C17" s="124" t="s">
        <v>379</v>
      </c>
      <c r="D17" s="124"/>
      <c r="E17" s="312">
        <v>2430511.65</v>
      </c>
    </row>
    <row r="18" spans="1:5" ht="16.5" customHeight="1">
      <c r="A18" s="126"/>
      <c r="B18" s="130" t="s">
        <v>1478</v>
      </c>
      <c r="C18" s="124" t="s">
        <v>379</v>
      </c>
      <c r="D18" s="124"/>
      <c r="E18" s="312">
        <v>2530738.35</v>
      </c>
    </row>
    <row r="19" spans="1:5" ht="15">
      <c r="A19" s="126"/>
      <c r="B19" s="130" t="s">
        <v>1479</v>
      </c>
      <c r="C19" s="124" t="s">
        <v>379</v>
      </c>
      <c r="D19" s="124"/>
      <c r="E19" s="312">
        <v>2600897.25</v>
      </c>
    </row>
    <row r="20" spans="1:5" ht="15">
      <c r="A20" s="126"/>
      <c r="B20" s="130" t="s">
        <v>1480</v>
      </c>
      <c r="C20" s="124" t="s">
        <v>379</v>
      </c>
      <c r="D20" s="124"/>
      <c r="E20" s="312">
        <v>2876522.25</v>
      </c>
    </row>
    <row r="21" spans="1:5" ht="15">
      <c r="A21" s="126"/>
      <c r="B21" s="130" t="s">
        <v>1481</v>
      </c>
      <c r="C21" s="124" t="s">
        <v>379</v>
      </c>
      <c r="D21" s="124"/>
      <c r="E21" s="312">
        <v>3026863.35</v>
      </c>
    </row>
    <row r="22" spans="1:5" ht="15">
      <c r="A22" s="126"/>
      <c r="B22" s="130" t="s">
        <v>1482</v>
      </c>
      <c r="C22" s="124" t="s">
        <v>379</v>
      </c>
      <c r="D22" s="124"/>
      <c r="E22" s="312">
        <v>3177204.45</v>
      </c>
    </row>
    <row r="23" spans="1:5" ht="15">
      <c r="A23" s="126"/>
      <c r="B23" s="130" t="s">
        <v>1483</v>
      </c>
      <c r="C23" s="124" t="s">
        <v>379</v>
      </c>
      <c r="D23" s="124"/>
      <c r="E23" s="312">
        <v>3683352.75</v>
      </c>
    </row>
    <row r="24" spans="1:5" ht="15">
      <c r="A24" s="126"/>
      <c r="B24" s="130" t="s">
        <v>1484</v>
      </c>
      <c r="C24" s="124" t="s">
        <v>379</v>
      </c>
      <c r="D24" s="124"/>
      <c r="E24" s="312">
        <v>3878795.55</v>
      </c>
    </row>
    <row r="25" spans="1:5" ht="15">
      <c r="A25" s="126"/>
      <c r="B25" s="130" t="s">
        <v>1485</v>
      </c>
      <c r="C25" s="124" t="s">
        <v>379</v>
      </c>
      <c r="D25" s="124"/>
      <c r="E25" s="312">
        <v>4049182.2</v>
      </c>
    </row>
    <row r="26" spans="1:5" ht="15">
      <c r="A26" s="126"/>
      <c r="B26" s="130" t="s">
        <v>1486</v>
      </c>
      <c r="C26" s="124" t="s">
        <v>379</v>
      </c>
      <c r="D26" s="124"/>
      <c r="E26" s="312">
        <v>7562147.25</v>
      </c>
    </row>
    <row r="27" spans="1:5" ht="20.25" customHeight="1">
      <c r="A27" s="126" t="s">
        <v>380</v>
      </c>
      <c r="B27" s="133" t="s">
        <v>596</v>
      </c>
      <c r="C27" s="124"/>
      <c r="D27" s="124" t="s">
        <v>2351</v>
      </c>
      <c r="E27" s="134"/>
    </row>
    <row r="28" spans="1:5" ht="15">
      <c r="A28" s="132"/>
      <c r="B28" s="130" t="s">
        <v>1487</v>
      </c>
      <c r="C28" s="124" t="s">
        <v>597</v>
      </c>
      <c r="D28" s="124"/>
      <c r="E28" s="135">
        <v>1102500</v>
      </c>
    </row>
    <row r="29" spans="1:5" ht="15">
      <c r="A29" s="126"/>
      <c r="B29" s="136" t="s">
        <v>1488</v>
      </c>
      <c r="C29" s="124" t="s">
        <v>597</v>
      </c>
      <c r="D29" s="124"/>
      <c r="E29" s="135">
        <v>1302954.45</v>
      </c>
    </row>
    <row r="30" spans="1:5" ht="15">
      <c r="A30" s="126"/>
      <c r="B30" s="136" t="s">
        <v>1489</v>
      </c>
      <c r="C30" s="124" t="s">
        <v>597</v>
      </c>
      <c r="D30" s="124"/>
      <c r="E30" s="135">
        <v>1468329.45</v>
      </c>
    </row>
    <row r="31" spans="1:5" ht="15">
      <c r="A31" s="126"/>
      <c r="B31" s="136" t="s">
        <v>598</v>
      </c>
      <c r="C31" s="124" t="s">
        <v>597</v>
      </c>
      <c r="D31" s="124"/>
      <c r="E31" s="135">
        <v>1378125</v>
      </c>
    </row>
    <row r="32" spans="1:5" ht="15">
      <c r="A32" s="126"/>
      <c r="B32" s="136" t="s">
        <v>599</v>
      </c>
      <c r="C32" s="124" t="s">
        <v>597</v>
      </c>
      <c r="D32" s="124"/>
      <c r="E32" s="135">
        <v>1573567.8</v>
      </c>
    </row>
    <row r="33" spans="1:5" ht="15">
      <c r="A33" s="126"/>
      <c r="B33" s="136" t="s">
        <v>600</v>
      </c>
      <c r="C33" s="124" t="s">
        <v>597</v>
      </c>
      <c r="D33" s="124"/>
      <c r="E33" s="135">
        <v>1723908.9</v>
      </c>
    </row>
    <row r="34" spans="1:5" ht="15">
      <c r="A34" s="126"/>
      <c r="B34" s="136" t="s">
        <v>601</v>
      </c>
      <c r="C34" s="124" t="s">
        <v>597</v>
      </c>
      <c r="D34" s="124"/>
      <c r="E34" s="135">
        <v>1733932.2</v>
      </c>
    </row>
    <row r="35" spans="1:5" ht="15">
      <c r="A35" s="126"/>
      <c r="B35" s="136" t="s">
        <v>602</v>
      </c>
      <c r="C35" s="124" t="s">
        <v>597</v>
      </c>
      <c r="D35" s="124"/>
      <c r="E35" s="135">
        <v>1959442.8</v>
      </c>
    </row>
    <row r="36" spans="1:5" ht="15">
      <c r="A36" s="126"/>
      <c r="B36" s="136" t="s">
        <v>603</v>
      </c>
      <c r="C36" s="124" t="s">
        <v>597</v>
      </c>
      <c r="D36" s="124"/>
      <c r="E36" s="135">
        <v>2154886.65</v>
      </c>
    </row>
    <row r="37" spans="1:5" ht="15">
      <c r="A37" s="126" t="s">
        <v>380</v>
      </c>
      <c r="B37" s="133" t="s">
        <v>604</v>
      </c>
      <c r="C37" s="124"/>
      <c r="D37" s="124" t="s">
        <v>2352</v>
      </c>
      <c r="E37" s="125"/>
    </row>
    <row r="38" spans="1:5" ht="15">
      <c r="A38" s="126"/>
      <c r="B38" s="136" t="s">
        <v>151</v>
      </c>
      <c r="C38" s="124" t="s">
        <v>597</v>
      </c>
      <c r="D38" s="124"/>
      <c r="E38" s="135">
        <v>1443272.25</v>
      </c>
    </row>
    <row r="39" spans="1:5" ht="15">
      <c r="A39" s="126"/>
      <c r="B39" s="136" t="s">
        <v>152</v>
      </c>
      <c r="C39" s="124" t="s">
        <v>597</v>
      </c>
      <c r="D39" s="124"/>
      <c r="E39" s="135">
        <v>1728920.55</v>
      </c>
    </row>
    <row r="40" spans="1:5" ht="15">
      <c r="A40" s="126"/>
      <c r="B40" s="136" t="s">
        <v>1490</v>
      </c>
      <c r="C40" s="124" t="s">
        <v>597</v>
      </c>
      <c r="D40" s="124"/>
      <c r="E40" s="135">
        <v>1513432.2</v>
      </c>
    </row>
    <row r="41" spans="1:5" ht="15">
      <c r="A41" s="126"/>
      <c r="B41" s="136" t="s">
        <v>1491</v>
      </c>
      <c r="C41" s="124" t="s">
        <v>597</v>
      </c>
      <c r="D41" s="124"/>
      <c r="E41" s="135">
        <v>1799079.45</v>
      </c>
    </row>
    <row r="42" spans="1:5" ht="15">
      <c r="A42" s="126"/>
      <c r="B42" s="136" t="s">
        <v>1492</v>
      </c>
      <c r="C42" s="124" t="s">
        <v>597</v>
      </c>
      <c r="D42" s="124"/>
      <c r="E42" s="135">
        <v>2034613.35</v>
      </c>
    </row>
    <row r="43" spans="1:5" ht="15">
      <c r="A43" s="126"/>
      <c r="B43" s="136" t="s">
        <v>1493</v>
      </c>
      <c r="C43" s="124" t="s">
        <v>597</v>
      </c>
      <c r="D43" s="124"/>
      <c r="E43" s="135">
        <v>1738942.8</v>
      </c>
    </row>
    <row r="44" spans="1:5" ht="15">
      <c r="A44" s="126"/>
      <c r="B44" s="136" t="s">
        <v>1494</v>
      </c>
      <c r="C44" s="124" t="s">
        <v>597</v>
      </c>
      <c r="D44" s="124"/>
      <c r="E44" s="135">
        <v>1954432.2</v>
      </c>
    </row>
    <row r="45" spans="1:5" ht="15">
      <c r="A45" s="131"/>
      <c r="B45" s="136" t="s">
        <v>1495</v>
      </c>
      <c r="C45" s="124" t="s">
        <v>597</v>
      </c>
      <c r="D45" s="124"/>
      <c r="E45" s="135">
        <v>2335295.55</v>
      </c>
    </row>
    <row r="46" spans="1:5" ht="15">
      <c r="A46" s="126"/>
      <c r="B46" s="136" t="s">
        <v>133</v>
      </c>
      <c r="C46" s="124" t="s">
        <v>597</v>
      </c>
      <c r="D46" s="124"/>
      <c r="E46" s="135">
        <v>2701125</v>
      </c>
    </row>
    <row r="47" spans="1:5" ht="15">
      <c r="A47" s="126"/>
      <c r="B47" s="136" t="s">
        <v>134</v>
      </c>
      <c r="C47" s="124" t="s">
        <v>597</v>
      </c>
      <c r="D47" s="124"/>
      <c r="E47" s="135">
        <v>2961716.1</v>
      </c>
    </row>
    <row r="48" spans="1:5" ht="15">
      <c r="A48" s="126"/>
      <c r="B48" s="136" t="s">
        <v>135</v>
      </c>
      <c r="C48" s="124" t="s">
        <v>597</v>
      </c>
      <c r="D48" s="124"/>
      <c r="E48" s="135">
        <v>3412738.35</v>
      </c>
    </row>
    <row r="49" spans="1:5" ht="15">
      <c r="A49" s="126"/>
      <c r="B49" s="136" t="s">
        <v>136</v>
      </c>
      <c r="C49" s="124" t="s">
        <v>597</v>
      </c>
      <c r="D49" s="124"/>
      <c r="E49" s="135">
        <v>4485170.55</v>
      </c>
    </row>
    <row r="50" spans="1:5" ht="15">
      <c r="A50" s="126"/>
      <c r="B50" s="136" t="s">
        <v>137</v>
      </c>
      <c r="C50" s="124" t="s">
        <v>597</v>
      </c>
      <c r="D50" s="124"/>
      <c r="E50" s="135">
        <v>5201795.55</v>
      </c>
    </row>
    <row r="51" spans="1:5" ht="15">
      <c r="A51" s="126"/>
      <c r="B51" s="136" t="s">
        <v>138</v>
      </c>
      <c r="C51" s="124" t="s">
        <v>597</v>
      </c>
      <c r="D51" s="124"/>
      <c r="E51" s="135">
        <v>6274227.75</v>
      </c>
    </row>
    <row r="52" spans="1:5" ht="15">
      <c r="A52" s="126"/>
      <c r="B52" s="136" t="s">
        <v>1496</v>
      </c>
      <c r="C52" s="124" t="s">
        <v>597</v>
      </c>
      <c r="D52" s="124"/>
      <c r="E52" s="135">
        <v>8629567.8</v>
      </c>
    </row>
    <row r="53" spans="1:5" ht="15">
      <c r="A53" s="126"/>
      <c r="B53" s="136" t="s">
        <v>139</v>
      </c>
      <c r="C53" s="124" t="s">
        <v>597</v>
      </c>
      <c r="D53" s="124"/>
      <c r="E53" s="135">
        <v>12122488.35</v>
      </c>
    </row>
    <row r="54" spans="1:5" ht="15">
      <c r="A54" s="126"/>
      <c r="B54" s="136" t="s">
        <v>140</v>
      </c>
      <c r="C54" s="124" t="s">
        <v>597</v>
      </c>
      <c r="D54" s="124"/>
      <c r="E54" s="135">
        <v>13625897.25</v>
      </c>
    </row>
    <row r="55" spans="1:5" ht="15">
      <c r="A55" s="126"/>
      <c r="B55" s="136" t="s">
        <v>141</v>
      </c>
      <c r="C55" s="124" t="s">
        <v>597</v>
      </c>
      <c r="D55" s="124"/>
      <c r="E55" s="135">
        <v>14457783.9</v>
      </c>
    </row>
    <row r="56" spans="1:5" ht="15">
      <c r="A56" s="126"/>
      <c r="B56" s="136" t="s">
        <v>142</v>
      </c>
      <c r="C56" s="124" t="s">
        <v>597</v>
      </c>
      <c r="D56" s="124"/>
      <c r="E56" s="135">
        <v>13440477.75</v>
      </c>
    </row>
    <row r="57" spans="1:5" ht="15">
      <c r="A57" s="126"/>
      <c r="B57" s="136" t="s">
        <v>143</v>
      </c>
      <c r="C57" s="124" t="s">
        <v>597</v>
      </c>
      <c r="D57" s="124"/>
      <c r="E57" s="135">
        <v>15440011.65</v>
      </c>
    </row>
    <row r="58" spans="1:5" ht="15">
      <c r="A58" s="126"/>
      <c r="B58" s="136" t="s">
        <v>144</v>
      </c>
      <c r="C58" s="124" t="s">
        <v>597</v>
      </c>
      <c r="D58" s="124"/>
      <c r="E58" s="135">
        <v>17850477.75</v>
      </c>
    </row>
    <row r="59" spans="1:5" ht="15">
      <c r="A59" s="126"/>
      <c r="B59" s="136" t="s">
        <v>145</v>
      </c>
      <c r="C59" s="124" t="s">
        <v>597</v>
      </c>
      <c r="D59" s="124"/>
      <c r="E59" s="135">
        <v>15224522.25</v>
      </c>
    </row>
    <row r="60" spans="1:5" ht="15">
      <c r="A60" s="126"/>
      <c r="B60" s="136" t="s">
        <v>146</v>
      </c>
      <c r="C60" s="124" t="s">
        <v>597</v>
      </c>
      <c r="D60" s="124"/>
      <c r="E60" s="135">
        <v>17294216.1</v>
      </c>
    </row>
    <row r="61" spans="1:5" ht="15">
      <c r="A61" s="126"/>
      <c r="B61" s="136" t="s">
        <v>147</v>
      </c>
      <c r="C61" s="124" t="s">
        <v>597</v>
      </c>
      <c r="D61" s="124"/>
      <c r="E61" s="135">
        <v>18912886.65</v>
      </c>
    </row>
    <row r="62" spans="1:5" ht="15">
      <c r="A62" s="126"/>
      <c r="B62" s="136" t="s">
        <v>148</v>
      </c>
      <c r="C62" s="124" t="s">
        <v>597</v>
      </c>
      <c r="D62" s="124"/>
      <c r="E62" s="135">
        <v>16923375</v>
      </c>
    </row>
    <row r="63" spans="1:5" ht="15">
      <c r="A63" s="126"/>
      <c r="B63" s="136" t="s">
        <v>149</v>
      </c>
      <c r="C63" s="124" t="s">
        <v>597</v>
      </c>
      <c r="D63" s="124"/>
      <c r="E63" s="135">
        <v>19018125</v>
      </c>
    </row>
    <row r="64" spans="1:5" ht="15">
      <c r="A64" s="126"/>
      <c r="B64" s="136" t="s">
        <v>150</v>
      </c>
      <c r="C64" s="124" t="s">
        <v>597</v>
      </c>
      <c r="D64" s="124"/>
      <c r="E64" s="135">
        <v>20852283.9</v>
      </c>
    </row>
    <row r="65" spans="1:5" ht="15">
      <c r="A65" s="126" t="s">
        <v>380</v>
      </c>
      <c r="B65" s="133" t="s">
        <v>1720</v>
      </c>
      <c r="C65" s="124"/>
      <c r="D65" s="124" t="s">
        <v>2352</v>
      </c>
      <c r="E65" s="137"/>
    </row>
    <row r="66" spans="1:5" ht="15">
      <c r="A66" s="126"/>
      <c r="B66" s="138" t="s">
        <v>1761</v>
      </c>
      <c r="C66" s="124"/>
      <c r="D66" s="124"/>
      <c r="E66" s="137"/>
    </row>
    <row r="67" spans="1:5" ht="15">
      <c r="A67" s="126"/>
      <c r="B67" s="136" t="s">
        <v>1721</v>
      </c>
      <c r="C67" s="124" t="s">
        <v>597</v>
      </c>
      <c r="D67" s="124"/>
      <c r="E67" s="135">
        <v>1713886.65</v>
      </c>
    </row>
    <row r="68" spans="1:5" ht="15">
      <c r="A68" s="126"/>
      <c r="B68" s="136" t="s">
        <v>1722</v>
      </c>
      <c r="C68" s="124" t="s">
        <v>597</v>
      </c>
      <c r="D68" s="124"/>
      <c r="E68" s="135">
        <v>1894295.55</v>
      </c>
    </row>
    <row r="69" spans="1:5" ht="15">
      <c r="A69" s="126"/>
      <c r="B69" s="136" t="s">
        <v>1723</v>
      </c>
      <c r="C69" s="124" t="s">
        <v>597</v>
      </c>
      <c r="D69" s="124"/>
      <c r="E69" s="135">
        <v>2255113.35</v>
      </c>
    </row>
    <row r="70" spans="1:5" ht="15">
      <c r="A70" s="126"/>
      <c r="B70" s="136" t="s">
        <v>1724</v>
      </c>
      <c r="C70" s="124" t="s">
        <v>597</v>
      </c>
      <c r="D70" s="124"/>
      <c r="E70" s="135">
        <v>2179942.8</v>
      </c>
    </row>
    <row r="71" spans="1:5" ht="15">
      <c r="A71" s="126"/>
      <c r="B71" s="136" t="s">
        <v>1725</v>
      </c>
      <c r="C71" s="124" t="s">
        <v>597</v>
      </c>
      <c r="D71" s="124"/>
      <c r="E71" s="135">
        <v>2385408.9</v>
      </c>
    </row>
    <row r="72" spans="1:5" ht="15">
      <c r="A72" s="126"/>
      <c r="B72" s="136" t="s">
        <v>1726</v>
      </c>
      <c r="C72" s="124" t="s">
        <v>597</v>
      </c>
      <c r="D72" s="124"/>
      <c r="E72" s="135">
        <v>2360352.75</v>
      </c>
    </row>
    <row r="73" spans="1:5" ht="15">
      <c r="A73" s="126"/>
      <c r="B73" s="136" t="s">
        <v>1727</v>
      </c>
      <c r="C73" s="124" t="s">
        <v>597</v>
      </c>
      <c r="D73" s="124"/>
      <c r="E73" s="135">
        <v>2450557.2</v>
      </c>
    </row>
    <row r="74" spans="1:5" ht="15">
      <c r="A74" s="126"/>
      <c r="B74" s="136" t="s">
        <v>1728</v>
      </c>
      <c r="C74" s="124" t="s">
        <v>597</v>
      </c>
      <c r="D74" s="124"/>
      <c r="E74" s="135">
        <v>2635977.75</v>
      </c>
    </row>
    <row r="75" spans="1:5" ht="15">
      <c r="A75" s="126"/>
      <c r="B75" s="136" t="s">
        <v>1729</v>
      </c>
      <c r="C75" s="124" t="s">
        <v>597</v>
      </c>
      <c r="D75" s="124"/>
      <c r="E75" s="135">
        <v>2811375</v>
      </c>
    </row>
    <row r="76" spans="1:5" ht="15">
      <c r="A76" s="126"/>
      <c r="B76" s="136" t="s">
        <v>1730</v>
      </c>
      <c r="C76" s="124" t="s">
        <v>597</v>
      </c>
      <c r="D76" s="124"/>
      <c r="E76" s="135">
        <v>2806363.35</v>
      </c>
    </row>
    <row r="77" spans="1:5" ht="15">
      <c r="A77" s="126"/>
      <c r="B77" s="136" t="s">
        <v>1731</v>
      </c>
      <c r="C77" s="124" t="s">
        <v>597</v>
      </c>
      <c r="D77" s="124"/>
      <c r="E77" s="135">
        <v>2956704.45</v>
      </c>
    </row>
    <row r="78" spans="1:5" ht="15">
      <c r="A78" s="126"/>
      <c r="B78" s="136" t="s">
        <v>1732</v>
      </c>
      <c r="C78" s="124" t="s">
        <v>597</v>
      </c>
      <c r="D78" s="124"/>
      <c r="E78" s="135">
        <v>3036886.65</v>
      </c>
    </row>
    <row r="79" spans="1:5" ht="15">
      <c r="A79" s="126"/>
      <c r="B79" s="136" t="s">
        <v>1733</v>
      </c>
      <c r="C79" s="124" t="s">
        <v>597</v>
      </c>
      <c r="D79" s="124"/>
      <c r="E79" s="135">
        <v>3377658.9</v>
      </c>
    </row>
    <row r="80" spans="1:5" ht="15">
      <c r="A80" s="126"/>
      <c r="B80" s="136" t="s">
        <v>1734</v>
      </c>
      <c r="C80" s="124" t="s">
        <v>597</v>
      </c>
      <c r="D80" s="124"/>
      <c r="E80" s="135">
        <v>3467863.35</v>
      </c>
    </row>
    <row r="81" spans="1:5" ht="15">
      <c r="A81" s="126"/>
      <c r="B81" s="136" t="s">
        <v>1735</v>
      </c>
      <c r="C81" s="124" t="s">
        <v>597</v>
      </c>
      <c r="D81" s="124"/>
      <c r="E81" s="135">
        <v>3558067.8</v>
      </c>
    </row>
    <row r="82" spans="1:5" ht="15">
      <c r="A82" s="126"/>
      <c r="B82" s="136" t="s">
        <v>1736</v>
      </c>
      <c r="C82" s="124" t="s">
        <v>597</v>
      </c>
      <c r="D82" s="124"/>
      <c r="E82" s="135">
        <v>4029136.65</v>
      </c>
    </row>
    <row r="83" spans="1:5" ht="15">
      <c r="A83" s="126"/>
      <c r="B83" s="136" t="s">
        <v>1737</v>
      </c>
      <c r="C83" s="124" t="s">
        <v>597</v>
      </c>
      <c r="D83" s="124"/>
      <c r="E83" s="135">
        <v>4279704.45</v>
      </c>
    </row>
    <row r="84" spans="1:5" ht="15">
      <c r="A84" s="126"/>
      <c r="B84" s="136" t="s">
        <v>1738</v>
      </c>
      <c r="C84" s="124" t="s">
        <v>597</v>
      </c>
      <c r="D84" s="124"/>
      <c r="E84" s="135">
        <v>4655557.2</v>
      </c>
    </row>
    <row r="85" spans="1:5" ht="15">
      <c r="A85" s="126"/>
      <c r="B85" s="136" t="s">
        <v>1739</v>
      </c>
      <c r="C85" s="124" t="s">
        <v>597</v>
      </c>
      <c r="D85" s="124"/>
      <c r="E85" s="135">
        <v>5632772.25</v>
      </c>
    </row>
    <row r="86" spans="1:5" ht="15">
      <c r="A86" s="126"/>
      <c r="B86" s="136" t="s">
        <v>1740</v>
      </c>
      <c r="C86" s="124" t="s">
        <v>597</v>
      </c>
      <c r="D86" s="124"/>
      <c r="E86" s="135">
        <v>6354408.9</v>
      </c>
    </row>
    <row r="87" spans="1:5" ht="15">
      <c r="A87" s="126"/>
      <c r="B87" s="136" t="s">
        <v>1741</v>
      </c>
      <c r="C87" s="124" t="s">
        <v>597</v>
      </c>
      <c r="D87" s="124"/>
      <c r="E87" s="135">
        <v>7451897.25</v>
      </c>
    </row>
    <row r="88" spans="1:5" ht="15">
      <c r="A88" s="126"/>
      <c r="B88" s="136" t="s">
        <v>1742</v>
      </c>
      <c r="C88" s="124" t="s">
        <v>597</v>
      </c>
      <c r="D88" s="124"/>
      <c r="E88" s="135">
        <v>12598567.8</v>
      </c>
    </row>
    <row r="89" spans="1:5" ht="15">
      <c r="A89" s="126"/>
      <c r="B89" s="136" t="s">
        <v>1743</v>
      </c>
      <c r="C89" s="124" t="s">
        <v>597</v>
      </c>
      <c r="D89" s="124"/>
      <c r="E89" s="135">
        <v>16948432.2</v>
      </c>
    </row>
    <row r="90" spans="1:5" ht="15">
      <c r="A90" s="126"/>
      <c r="B90" s="136" t="s">
        <v>1744</v>
      </c>
      <c r="C90" s="124" t="s">
        <v>597</v>
      </c>
      <c r="D90" s="124"/>
      <c r="E90" s="135">
        <v>17950704.45</v>
      </c>
    </row>
    <row r="91" spans="1:5" ht="15">
      <c r="A91" s="126"/>
      <c r="B91" s="136" t="s">
        <v>1745</v>
      </c>
      <c r="C91" s="124" t="s">
        <v>597</v>
      </c>
      <c r="D91" s="124"/>
      <c r="E91" s="135">
        <v>17008567.8</v>
      </c>
    </row>
    <row r="92" spans="1:5" ht="15">
      <c r="A92" s="126"/>
      <c r="B92" s="136" t="s">
        <v>1746</v>
      </c>
      <c r="C92" s="124" t="s">
        <v>597</v>
      </c>
      <c r="D92" s="124"/>
      <c r="E92" s="135">
        <v>18993067.8</v>
      </c>
    </row>
    <row r="93" spans="1:5" ht="15">
      <c r="A93" s="126"/>
      <c r="B93" s="136" t="s">
        <v>1747</v>
      </c>
      <c r="C93" s="124" t="s">
        <v>597</v>
      </c>
      <c r="D93" s="124"/>
      <c r="E93" s="135">
        <v>20245908.9</v>
      </c>
    </row>
    <row r="94" spans="1:5" ht="15">
      <c r="A94" s="126"/>
      <c r="B94" s="136" t="s">
        <v>1748</v>
      </c>
      <c r="C94" s="124" t="s">
        <v>597</v>
      </c>
      <c r="D94" s="124"/>
      <c r="E94" s="135">
        <v>19003091.1</v>
      </c>
    </row>
    <row r="95" spans="1:5" ht="15">
      <c r="A95" s="126"/>
      <c r="B95" s="136" t="s">
        <v>1749</v>
      </c>
      <c r="C95" s="124" t="s">
        <v>597</v>
      </c>
      <c r="D95" s="124"/>
      <c r="E95" s="135">
        <v>20882352.75</v>
      </c>
    </row>
    <row r="96" spans="1:5" ht="15">
      <c r="A96" s="126"/>
      <c r="B96" s="136" t="s">
        <v>1750</v>
      </c>
      <c r="C96" s="124" t="s">
        <v>597</v>
      </c>
      <c r="D96" s="124"/>
      <c r="E96" s="135">
        <v>20942488.35</v>
      </c>
    </row>
    <row r="97" spans="1:5" ht="15">
      <c r="A97" s="126"/>
      <c r="B97" s="136" t="s">
        <v>1751</v>
      </c>
      <c r="C97" s="124" t="s">
        <v>597</v>
      </c>
      <c r="D97" s="124"/>
      <c r="E97" s="135">
        <v>22100113.35</v>
      </c>
    </row>
    <row r="98" spans="1:5" ht="15">
      <c r="A98" s="126"/>
      <c r="B98" s="136" t="s">
        <v>1752</v>
      </c>
      <c r="C98" s="124" t="s">
        <v>597</v>
      </c>
      <c r="D98" s="124"/>
      <c r="E98" s="135">
        <v>20756352.75</v>
      </c>
    </row>
    <row r="99" spans="1:5" ht="15">
      <c r="A99" s="126"/>
      <c r="B99" s="136" t="s">
        <v>1753</v>
      </c>
      <c r="C99" s="124" t="s">
        <v>597</v>
      </c>
      <c r="D99" s="124"/>
      <c r="E99" s="135">
        <v>23332908.9</v>
      </c>
    </row>
    <row r="100" spans="1:5" ht="15">
      <c r="A100" s="126"/>
      <c r="B100" s="136" t="s">
        <v>1754</v>
      </c>
      <c r="C100" s="124" t="s">
        <v>597</v>
      </c>
      <c r="D100" s="124"/>
      <c r="E100" s="135">
        <v>24801238.35</v>
      </c>
    </row>
    <row r="101" spans="1:5" ht="15">
      <c r="A101" s="131"/>
      <c r="B101" s="136" t="s">
        <v>1755</v>
      </c>
      <c r="C101" s="124" t="s">
        <v>597</v>
      </c>
      <c r="D101" s="124"/>
      <c r="E101" s="135">
        <v>25628113.35</v>
      </c>
    </row>
    <row r="102" spans="1:5" ht="15">
      <c r="A102" s="131" t="s">
        <v>2374</v>
      </c>
      <c r="B102" s="123" t="s">
        <v>2525</v>
      </c>
      <c r="C102" s="124"/>
      <c r="D102" s="124"/>
      <c r="E102" s="135"/>
    </row>
    <row r="103" spans="1:5" ht="15">
      <c r="A103" s="131"/>
      <c r="B103" s="138" t="s">
        <v>2526</v>
      </c>
      <c r="C103" s="124"/>
      <c r="D103" s="124"/>
      <c r="E103" s="135"/>
    </row>
    <row r="104" spans="1:5" ht="15">
      <c r="A104" s="131" t="s">
        <v>380</v>
      </c>
      <c r="B104" s="278" t="s">
        <v>2384</v>
      </c>
      <c r="C104" s="124"/>
      <c r="D104" s="124" t="s">
        <v>2383</v>
      </c>
      <c r="E104" s="135"/>
    </row>
    <row r="105" spans="1:5" ht="30">
      <c r="A105" s="126"/>
      <c r="B105" s="130" t="s">
        <v>2375</v>
      </c>
      <c r="C105" s="126" t="s">
        <v>1387</v>
      </c>
      <c r="D105" s="124"/>
      <c r="E105" s="135">
        <v>3070200</v>
      </c>
    </row>
    <row r="106" spans="1:5" ht="30">
      <c r="A106" s="126"/>
      <c r="B106" s="130" t="s">
        <v>2376</v>
      </c>
      <c r="C106" s="126" t="s">
        <v>1387</v>
      </c>
      <c r="D106" s="124"/>
      <c r="E106" s="135">
        <v>3535350</v>
      </c>
    </row>
    <row r="107" spans="1:5" ht="30">
      <c r="A107" s="126"/>
      <c r="B107" s="130" t="s">
        <v>2377</v>
      </c>
      <c r="C107" s="126" t="s">
        <v>1387</v>
      </c>
      <c r="D107" s="124"/>
      <c r="E107" s="135">
        <v>4462500</v>
      </c>
    </row>
    <row r="108" spans="1:5" ht="30">
      <c r="A108" s="126"/>
      <c r="B108" s="130" t="s">
        <v>2378</v>
      </c>
      <c r="C108" s="126" t="s">
        <v>1387</v>
      </c>
      <c r="D108" s="124"/>
      <c r="E108" s="135">
        <v>4375500</v>
      </c>
    </row>
    <row r="109" spans="1:5" ht="30">
      <c r="A109" s="126"/>
      <c r="B109" s="130" t="s">
        <v>2379</v>
      </c>
      <c r="C109" s="126" t="s">
        <v>1387</v>
      </c>
      <c r="D109" s="124"/>
      <c r="E109" s="135">
        <v>5407500</v>
      </c>
    </row>
    <row r="110" spans="1:5" ht="30">
      <c r="A110" s="126"/>
      <c r="B110" s="130" t="s">
        <v>2380</v>
      </c>
      <c r="C110" s="126" t="s">
        <v>1387</v>
      </c>
      <c r="D110" s="124"/>
      <c r="E110" s="135">
        <v>5722500</v>
      </c>
    </row>
    <row r="111" spans="1:5" ht="30">
      <c r="A111" s="126"/>
      <c r="B111" s="130" t="s">
        <v>2381</v>
      </c>
      <c r="C111" s="126" t="s">
        <v>1387</v>
      </c>
      <c r="D111" s="124"/>
      <c r="E111" s="135">
        <v>6247500</v>
      </c>
    </row>
    <row r="112" spans="1:5" ht="30">
      <c r="A112" s="126"/>
      <c r="B112" s="130" t="s">
        <v>2382</v>
      </c>
      <c r="C112" s="126" t="s">
        <v>1387</v>
      </c>
      <c r="D112" s="124"/>
      <c r="E112" s="135">
        <v>6804000</v>
      </c>
    </row>
    <row r="113" spans="1:5" ht="15">
      <c r="A113" s="126" t="s">
        <v>380</v>
      </c>
      <c r="B113" s="133" t="s">
        <v>2391</v>
      </c>
      <c r="C113" s="124"/>
      <c r="D113" s="124" t="s">
        <v>2383</v>
      </c>
      <c r="E113" s="135"/>
    </row>
    <row r="114" spans="1:5" ht="15">
      <c r="A114" s="126"/>
      <c r="B114" s="136" t="s">
        <v>2385</v>
      </c>
      <c r="C114" s="124" t="s">
        <v>1387</v>
      </c>
      <c r="D114" s="124"/>
      <c r="E114" s="135">
        <v>3502800</v>
      </c>
    </row>
    <row r="115" spans="1:5" ht="15">
      <c r="A115" s="126"/>
      <c r="B115" s="136" t="s">
        <v>2386</v>
      </c>
      <c r="C115" s="124" t="s">
        <v>1387</v>
      </c>
      <c r="D115" s="124"/>
      <c r="E115" s="135">
        <v>4420500</v>
      </c>
    </row>
    <row r="116" spans="1:5" ht="15">
      <c r="A116" s="126"/>
      <c r="B116" s="136" t="s">
        <v>2387</v>
      </c>
      <c r="C116" s="124" t="s">
        <v>1387</v>
      </c>
      <c r="D116" s="124"/>
      <c r="E116" s="135">
        <v>5324550</v>
      </c>
    </row>
    <row r="117" spans="1:5" ht="15">
      <c r="A117" s="126"/>
      <c r="B117" s="136" t="s">
        <v>2388</v>
      </c>
      <c r="C117" s="124" t="s">
        <v>1387</v>
      </c>
      <c r="D117" s="124"/>
      <c r="E117" s="135">
        <v>6213900</v>
      </c>
    </row>
    <row r="118" spans="1:5" ht="15">
      <c r="A118" s="126"/>
      <c r="B118" s="136" t="s">
        <v>2389</v>
      </c>
      <c r="C118" s="124" t="s">
        <v>1387</v>
      </c>
      <c r="D118" s="124"/>
      <c r="E118" s="135">
        <v>7046550</v>
      </c>
    </row>
    <row r="119" spans="1:5" ht="15">
      <c r="A119" s="126"/>
      <c r="B119" s="136" t="s">
        <v>2390</v>
      </c>
      <c r="C119" s="124" t="s">
        <v>1387</v>
      </c>
      <c r="D119" s="124"/>
      <c r="E119" s="135">
        <v>7906500</v>
      </c>
    </row>
    <row r="120" spans="1:5" ht="15">
      <c r="A120" s="126" t="s">
        <v>380</v>
      </c>
      <c r="B120" s="133" t="s">
        <v>2392</v>
      </c>
      <c r="C120" s="124"/>
      <c r="D120" s="124" t="s">
        <v>2383</v>
      </c>
      <c r="E120" s="135"/>
    </row>
    <row r="121" spans="1:5" ht="15">
      <c r="A121" s="126"/>
      <c r="B121" s="136" t="s">
        <v>2393</v>
      </c>
      <c r="C121" s="124" t="s">
        <v>1142</v>
      </c>
      <c r="D121" s="124"/>
      <c r="E121" s="135">
        <v>1648500</v>
      </c>
    </row>
    <row r="122" spans="1:5" ht="15">
      <c r="A122" s="126"/>
      <c r="B122" s="136" t="s">
        <v>2394</v>
      </c>
      <c r="C122" s="124" t="s">
        <v>1142</v>
      </c>
      <c r="D122" s="124"/>
      <c r="E122" s="135">
        <v>2289000</v>
      </c>
    </row>
    <row r="123" spans="1:5" ht="15">
      <c r="A123" s="126"/>
      <c r="B123" s="136" t="s">
        <v>2395</v>
      </c>
      <c r="C123" s="124" t="s">
        <v>1142</v>
      </c>
      <c r="D123" s="124"/>
      <c r="E123" s="135">
        <v>1701000</v>
      </c>
    </row>
    <row r="124" spans="1:5" ht="15">
      <c r="A124" s="126"/>
      <c r="B124" s="136" t="s">
        <v>2396</v>
      </c>
      <c r="C124" s="124" t="s">
        <v>1142</v>
      </c>
      <c r="D124" s="124"/>
      <c r="E124" s="135">
        <v>2499000</v>
      </c>
    </row>
    <row r="125" spans="1:5" ht="15">
      <c r="A125" s="126"/>
      <c r="B125" s="136" t="s">
        <v>2397</v>
      </c>
      <c r="C125" s="124" t="s">
        <v>1142</v>
      </c>
      <c r="D125" s="124"/>
      <c r="E125" s="135">
        <v>1603350</v>
      </c>
    </row>
    <row r="126" spans="1:5" ht="15">
      <c r="A126" s="126"/>
      <c r="B126" s="136" t="s">
        <v>2398</v>
      </c>
      <c r="C126" s="124" t="s">
        <v>1142</v>
      </c>
      <c r="D126" s="124"/>
      <c r="E126" s="135">
        <v>2068500</v>
      </c>
    </row>
    <row r="127" spans="1:5" ht="15">
      <c r="A127" s="126"/>
      <c r="B127" s="136" t="s">
        <v>2399</v>
      </c>
      <c r="C127" s="124" t="s">
        <v>1142</v>
      </c>
      <c r="D127" s="124"/>
      <c r="E127" s="135">
        <v>1102500</v>
      </c>
    </row>
    <row r="128" spans="1:5" ht="15">
      <c r="A128" s="126"/>
      <c r="B128" s="136" t="s">
        <v>2400</v>
      </c>
      <c r="C128" s="124" t="s">
        <v>1142</v>
      </c>
      <c r="D128" s="124"/>
      <c r="E128" s="135">
        <v>1501500</v>
      </c>
    </row>
    <row r="129" spans="1:5" ht="18.75" customHeight="1">
      <c r="A129" s="126" t="s">
        <v>380</v>
      </c>
      <c r="B129" s="133" t="s">
        <v>2401</v>
      </c>
      <c r="C129" s="124"/>
      <c r="D129" s="310" t="s">
        <v>2410</v>
      </c>
      <c r="E129" s="135"/>
    </row>
    <row r="130" spans="1:5" ht="15">
      <c r="A130" s="126"/>
      <c r="B130" s="136" t="s">
        <v>2402</v>
      </c>
      <c r="C130" s="124" t="s">
        <v>1142</v>
      </c>
      <c r="D130" s="124"/>
      <c r="E130" s="135">
        <v>10097850</v>
      </c>
    </row>
    <row r="131" spans="1:5" ht="15">
      <c r="A131" s="126"/>
      <c r="B131" s="136" t="s">
        <v>2403</v>
      </c>
      <c r="C131" s="124" t="s">
        <v>1142</v>
      </c>
      <c r="D131" s="124"/>
      <c r="E131" s="135">
        <v>10829700</v>
      </c>
    </row>
    <row r="132" spans="1:5" ht="15">
      <c r="A132" s="126"/>
      <c r="B132" s="136" t="s">
        <v>2404</v>
      </c>
      <c r="C132" s="124" t="s">
        <v>1142</v>
      </c>
      <c r="D132" s="124"/>
      <c r="E132" s="135">
        <v>11268600</v>
      </c>
    </row>
    <row r="133" spans="1:5" ht="15">
      <c r="A133" s="126"/>
      <c r="B133" s="136" t="s">
        <v>2405</v>
      </c>
      <c r="C133" s="124" t="s">
        <v>1142</v>
      </c>
      <c r="D133" s="124"/>
      <c r="E133" s="135">
        <v>11853450</v>
      </c>
    </row>
    <row r="134" spans="1:5" ht="15">
      <c r="A134" s="126"/>
      <c r="B134" s="136" t="s">
        <v>2406</v>
      </c>
      <c r="C134" s="124" t="s">
        <v>1142</v>
      </c>
      <c r="D134" s="124"/>
      <c r="E134" s="135">
        <v>10389750</v>
      </c>
    </row>
    <row r="135" spans="1:5" ht="15">
      <c r="A135" s="126"/>
      <c r="B135" s="136" t="s">
        <v>2407</v>
      </c>
      <c r="C135" s="124" t="s">
        <v>1142</v>
      </c>
      <c r="D135" s="124"/>
      <c r="E135" s="135">
        <v>11121600</v>
      </c>
    </row>
    <row r="136" spans="1:5" ht="15">
      <c r="A136" s="126"/>
      <c r="B136" s="136" t="s">
        <v>2408</v>
      </c>
      <c r="C136" s="124" t="s">
        <v>1142</v>
      </c>
      <c r="D136" s="124"/>
      <c r="E136" s="135">
        <v>11707500</v>
      </c>
    </row>
    <row r="137" spans="1:5" ht="15">
      <c r="A137" s="126"/>
      <c r="B137" s="136" t="s">
        <v>2409</v>
      </c>
      <c r="C137" s="124" t="s">
        <v>1142</v>
      </c>
      <c r="D137" s="124"/>
      <c r="E137" s="135">
        <v>12146400</v>
      </c>
    </row>
    <row r="138" spans="1:5" ht="15">
      <c r="A138" s="126" t="s">
        <v>380</v>
      </c>
      <c r="B138" s="133" t="s">
        <v>2411</v>
      </c>
      <c r="C138" s="124"/>
      <c r="D138" s="124" t="s">
        <v>2521</v>
      </c>
      <c r="E138" s="135"/>
    </row>
    <row r="139" spans="1:5" ht="15">
      <c r="A139" s="126"/>
      <c r="B139" s="136" t="s">
        <v>2412</v>
      </c>
      <c r="C139" s="124" t="s">
        <v>1142</v>
      </c>
      <c r="D139" s="124"/>
      <c r="E139" s="135">
        <v>21042000</v>
      </c>
    </row>
    <row r="140" spans="1:5" ht="15">
      <c r="A140" s="126"/>
      <c r="B140" s="136" t="s">
        <v>2413</v>
      </c>
      <c r="C140" s="124" t="s">
        <v>1142</v>
      </c>
      <c r="D140" s="124"/>
      <c r="E140" s="135">
        <v>28595322</v>
      </c>
    </row>
    <row r="141" spans="1:5" ht="15">
      <c r="A141" s="126"/>
      <c r="B141" s="136" t="s">
        <v>2414</v>
      </c>
      <c r="C141" s="124" t="s">
        <v>1142</v>
      </c>
      <c r="D141" s="124"/>
      <c r="E141" s="135">
        <v>41517000</v>
      </c>
    </row>
    <row r="142" spans="1:5" ht="15">
      <c r="A142" s="126"/>
      <c r="B142" s="136" t="s">
        <v>2415</v>
      </c>
      <c r="C142" s="124" t="s">
        <v>1142</v>
      </c>
      <c r="D142" s="124"/>
      <c r="E142" s="135">
        <v>4032000</v>
      </c>
    </row>
    <row r="143" spans="1:5" ht="15.75" customHeight="1">
      <c r="A143" s="126" t="s">
        <v>380</v>
      </c>
      <c r="B143" s="133" t="s">
        <v>2416</v>
      </c>
      <c r="C143" s="124"/>
      <c r="D143" s="124" t="s">
        <v>2410</v>
      </c>
      <c r="E143" s="135"/>
    </row>
    <row r="144" spans="1:5" ht="15">
      <c r="A144" s="126"/>
      <c r="B144" s="136" t="s">
        <v>2417</v>
      </c>
      <c r="C144" s="124" t="s">
        <v>1142</v>
      </c>
      <c r="D144" s="124"/>
      <c r="E144" s="135">
        <v>4567500</v>
      </c>
    </row>
    <row r="145" spans="1:5" ht="15">
      <c r="A145" s="126"/>
      <c r="B145" s="136" t="s">
        <v>2418</v>
      </c>
      <c r="C145" s="124" t="s">
        <v>1142</v>
      </c>
      <c r="D145" s="124"/>
      <c r="E145" s="135">
        <v>5827500</v>
      </c>
    </row>
    <row r="146" spans="1:5" ht="15">
      <c r="A146" s="126"/>
      <c r="B146" s="136" t="s">
        <v>2419</v>
      </c>
      <c r="C146" s="124" t="s">
        <v>1142</v>
      </c>
      <c r="D146" s="124"/>
      <c r="E146" s="135">
        <v>9292500</v>
      </c>
    </row>
    <row r="147" spans="1:5" ht="15">
      <c r="A147" s="126"/>
      <c r="B147" s="136" t="s">
        <v>2420</v>
      </c>
      <c r="C147" s="124" t="s">
        <v>1142</v>
      </c>
      <c r="D147" s="124"/>
      <c r="E147" s="135">
        <v>4987500</v>
      </c>
    </row>
    <row r="148" spans="1:5" ht="15">
      <c r="A148" s="126"/>
      <c r="B148" s="136" t="s">
        <v>2421</v>
      </c>
      <c r="C148" s="124" t="s">
        <v>1142</v>
      </c>
      <c r="D148" s="124"/>
      <c r="E148" s="135">
        <v>4935000</v>
      </c>
    </row>
    <row r="149" spans="1:5" ht="15">
      <c r="A149" s="126"/>
      <c r="B149" s="136" t="s">
        <v>2422</v>
      </c>
      <c r="C149" s="124" t="s">
        <v>1142</v>
      </c>
      <c r="D149" s="124"/>
      <c r="E149" s="135">
        <v>9975000</v>
      </c>
    </row>
    <row r="150" spans="1:5" ht="15.75" customHeight="1">
      <c r="A150" s="126" t="s">
        <v>380</v>
      </c>
      <c r="B150" s="133" t="s">
        <v>2423</v>
      </c>
      <c r="C150" s="124" t="s">
        <v>1142</v>
      </c>
      <c r="D150" s="124" t="s">
        <v>2410</v>
      </c>
      <c r="E150" s="135"/>
    </row>
    <row r="151" spans="1:5" ht="15">
      <c r="A151" s="126"/>
      <c r="B151" s="136" t="s">
        <v>2424</v>
      </c>
      <c r="C151" s="124" t="s">
        <v>1142</v>
      </c>
      <c r="D151" s="124"/>
      <c r="E151" s="135">
        <v>1417500</v>
      </c>
    </row>
    <row r="152" spans="1:5" ht="15">
      <c r="A152" s="126"/>
      <c r="B152" s="136" t="s">
        <v>2425</v>
      </c>
      <c r="C152" s="124" t="s">
        <v>1142</v>
      </c>
      <c r="D152" s="124"/>
      <c r="E152" s="135">
        <v>1552500</v>
      </c>
    </row>
    <row r="153" spans="1:5" ht="15">
      <c r="A153" s="126"/>
      <c r="B153" s="136" t="s">
        <v>2426</v>
      </c>
      <c r="C153" s="124" t="s">
        <v>1142</v>
      </c>
      <c r="D153" s="124"/>
      <c r="E153" s="135">
        <v>1995000</v>
      </c>
    </row>
    <row r="154" spans="1:5" ht="15">
      <c r="A154" s="126"/>
      <c r="B154" s="136" t="s">
        <v>2427</v>
      </c>
      <c r="C154" s="124" t="s">
        <v>1142</v>
      </c>
      <c r="D154" s="124"/>
      <c r="E154" s="135">
        <v>2677500</v>
      </c>
    </row>
    <row r="155" spans="1:5" ht="15">
      <c r="A155" s="126"/>
      <c r="B155" s="136" t="s">
        <v>2428</v>
      </c>
      <c r="C155" s="124" t="s">
        <v>1142</v>
      </c>
      <c r="D155" s="124"/>
      <c r="E155" s="135">
        <v>1102500</v>
      </c>
    </row>
    <row r="156" spans="1:5" ht="15">
      <c r="A156" s="126"/>
      <c r="B156" s="136" t="s">
        <v>2429</v>
      </c>
      <c r="C156" s="124" t="s">
        <v>1142</v>
      </c>
      <c r="D156" s="124"/>
      <c r="E156" s="135">
        <v>1470000</v>
      </c>
    </row>
    <row r="157" spans="1:5" ht="15">
      <c r="A157" s="126"/>
      <c r="B157" s="136" t="s">
        <v>2430</v>
      </c>
      <c r="C157" s="124" t="s">
        <v>1142</v>
      </c>
      <c r="D157" s="124"/>
      <c r="E157" s="135">
        <v>1312500</v>
      </c>
    </row>
    <row r="158" spans="1:5" ht="15">
      <c r="A158" s="126"/>
      <c r="B158" s="136" t="s">
        <v>2431</v>
      </c>
      <c r="C158" s="124" t="s">
        <v>1142</v>
      </c>
      <c r="D158" s="124"/>
      <c r="E158" s="135">
        <v>1522500</v>
      </c>
    </row>
    <row r="159" spans="1:5" ht="15">
      <c r="A159" s="126"/>
      <c r="B159" s="136" t="s">
        <v>2432</v>
      </c>
      <c r="C159" s="124" t="s">
        <v>1142</v>
      </c>
      <c r="D159" s="124"/>
      <c r="E159" s="135">
        <v>1837500</v>
      </c>
    </row>
    <row r="160" spans="1:5" ht="15">
      <c r="A160" s="126"/>
      <c r="B160" s="136" t="s">
        <v>2433</v>
      </c>
      <c r="C160" s="124" t="s">
        <v>1142</v>
      </c>
      <c r="D160" s="124"/>
      <c r="E160" s="135">
        <v>2677500</v>
      </c>
    </row>
    <row r="161" spans="1:5" ht="15">
      <c r="A161" s="126"/>
      <c r="B161" s="136" t="s">
        <v>2434</v>
      </c>
      <c r="C161" s="124" t="s">
        <v>1142</v>
      </c>
      <c r="D161" s="124"/>
      <c r="E161" s="135">
        <v>1094436</v>
      </c>
    </row>
    <row r="162" spans="1:5" ht="15">
      <c r="A162" s="126"/>
      <c r="B162" s="136" t="s">
        <v>2435</v>
      </c>
      <c r="C162" s="124" t="s">
        <v>1142</v>
      </c>
      <c r="D162" s="124"/>
      <c r="E162" s="135">
        <v>1781640</v>
      </c>
    </row>
    <row r="163" spans="1:5" ht="15">
      <c r="A163" s="126"/>
      <c r="B163" s="136" t="s">
        <v>2436</v>
      </c>
      <c r="C163" s="124" t="s">
        <v>1142</v>
      </c>
      <c r="D163" s="124"/>
      <c r="E163" s="135">
        <v>2150694</v>
      </c>
    </row>
    <row r="164" spans="1:5" ht="15">
      <c r="A164" s="126"/>
      <c r="B164" s="136" t="s">
        <v>2437</v>
      </c>
      <c r="C164" s="124" t="s">
        <v>1142</v>
      </c>
      <c r="D164" s="124"/>
      <c r="E164" s="135">
        <v>2467500</v>
      </c>
    </row>
    <row r="165" spans="1:5" ht="15">
      <c r="A165" s="126"/>
      <c r="B165" s="136" t="s">
        <v>2438</v>
      </c>
      <c r="C165" s="124" t="s">
        <v>1142</v>
      </c>
      <c r="D165" s="124"/>
      <c r="E165" s="135">
        <v>2152500</v>
      </c>
    </row>
    <row r="166" spans="1:5" ht="15">
      <c r="A166" s="126" t="s">
        <v>380</v>
      </c>
      <c r="B166" s="133" t="s">
        <v>2497</v>
      </c>
      <c r="C166" s="124"/>
      <c r="D166" s="124" t="s">
        <v>2522</v>
      </c>
      <c r="E166" s="135"/>
    </row>
    <row r="167" spans="1:5" ht="15">
      <c r="A167" s="126"/>
      <c r="B167" s="136" t="s">
        <v>2439</v>
      </c>
      <c r="C167" s="124" t="s">
        <v>1142</v>
      </c>
      <c r="D167" s="124"/>
      <c r="E167" s="135">
        <v>577500</v>
      </c>
    </row>
    <row r="168" spans="1:5" ht="15">
      <c r="A168" s="126"/>
      <c r="B168" s="136" t="s">
        <v>2440</v>
      </c>
      <c r="C168" s="124" t="s">
        <v>1142</v>
      </c>
      <c r="D168" s="124"/>
      <c r="E168" s="135">
        <v>682500</v>
      </c>
    </row>
    <row r="169" spans="1:5" ht="15">
      <c r="A169" s="126"/>
      <c r="B169" s="136" t="s">
        <v>2441</v>
      </c>
      <c r="C169" s="124" t="s">
        <v>1142</v>
      </c>
      <c r="D169" s="124"/>
      <c r="E169" s="135">
        <v>509250</v>
      </c>
    </row>
    <row r="170" spans="1:5" ht="15">
      <c r="A170" s="126"/>
      <c r="B170" s="136" t="s">
        <v>2442</v>
      </c>
      <c r="C170" s="124" t="s">
        <v>1142</v>
      </c>
      <c r="D170" s="124"/>
      <c r="E170" s="135">
        <v>997500</v>
      </c>
    </row>
    <row r="171" spans="1:5" ht="15">
      <c r="A171" s="126"/>
      <c r="B171" s="136" t="s">
        <v>2443</v>
      </c>
      <c r="C171" s="124" t="s">
        <v>1142</v>
      </c>
      <c r="D171" s="124"/>
      <c r="E171" s="135">
        <v>1496250</v>
      </c>
    </row>
    <row r="172" spans="1:5" ht="15">
      <c r="A172" s="126"/>
      <c r="B172" s="136" t="s">
        <v>2444</v>
      </c>
      <c r="C172" s="124" t="s">
        <v>1142</v>
      </c>
      <c r="D172" s="124"/>
      <c r="E172" s="135">
        <v>2992500</v>
      </c>
    </row>
    <row r="173" spans="1:5" ht="15">
      <c r="A173" s="126"/>
      <c r="B173" s="136" t="s">
        <v>2445</v>
      </c>
      <c r="C173" s="124" t="s">
        <v>1142</v>
      </c>
      <c r="D173" s="124"/>
      <c r="E173" s="135">
        <v>1312500</v>
      </c>
    </row>
    <row r="174" spans="1:5" ht="42.75" customHeight="1">
      <c r="A174" s="126" t="s">
        <v>380</v>
      </c>
      <c r="B174" s="189" t="s">
        <v>2498</v>
      </c>
      <c r="C174" s="124"/>
      <c r="D174" s="310" t="s">
        <v>2523</v>
      </c>
      <c r="E174" s="135"/>
    </row>
    <row r="175" spans="1:5" ht="15">
      <c r="A175" s="126"/>
      <c r="B175" s="136" t="s">
        <v>2446</v>
      </c>
      <c r="C175" s="124" t="s">
        <v>2447</v>
      </c>
      <c r="D175" s="124"/>
      <c r="E175" s="135">
        <v>8550000</v>
      </c>
    </row>
    <row r="176" spans="1:5" ht="15">
      <c r="A176" s="126"/>
      <c r="B176" s="136" t="s">
        <v>2448</v>
      </c>
      <c r="C176" s="124" t="s">
        <v>2447</v>
      </c>
      <c r="D176" s="124"/>
      <c r="E176" s="135">
        <v>8950000</v>
      </c>
    </row>
    <row r="177" spans="1:5" ht="15">
      <c r="A177" s="126"/>
      <c r="B177" s="136" t="s">
        <v>2449</v>
      </c>
      <c r="C177" s="124" t="s">
        <v>2447</v>
      </c>
      <c r="D177" s="124"/>
      <c r="E177" s="135">
        <v>9150000</v>
      </c>
    </row>
    <row r="178" spans="1:5" ht="15">
      <c r="A178" s="126"/>
      <c r="B178" s="136" t="s">
        <v>2450</v>
      </c>
      <c r="C178" s="124" t="s">
        <v>2447</v>
      </c>
      <c r="D178" s="124"/>
      <c r="E178" s="135">
        <v>10450000</v>
      </c>
    </row>
    <row r="179" spans="1:5" ht="15">
      <c r="A179" s="126"/>
      <c r="B179" s="136" t="s">
        <v>2451</v>
      </c>
      <c r="C179" s="124" t="s">
        <v>2447</v>
      </c>
      <c r="D179" s="124"/>
      <c r="E179" s="135">
        <v>10850000</v>
      </c>
    </row>
    <row r="180" spans="1:5" ht="15">
      <c r="A180" s="126"/>
      <c r="B180" s="136" t="s">
        <v>2452</v>
      </c>
      <c r="C180" s="124" t="s">
        <v>2447</v>
      </c>
      <c r="D180" s="124"/>
      <c r="E180" s="135">
        <v>11000000</v>
      </c>
    </row>
    <row r="181" spans="1:5" ht="15">
      <c r="A181" s="126"/>
      <c r="B181" s="136" t="s">
        <v>2453</v>
      </c>
      <c r="C181" s="124" t="s">
        <v>2447</v>
      </c>
      <c r="D181" s="124"/>
      <c r="E181" s="135">
        <v>11650000</v>
      </c>
    </row>
    <row r="182" spans="1:5" ht="15">
      <c r="A182" s="126"/>
      <c r="B182" s="136" t="s">
        <v>2454</v>
      </c>
      <c r="C182" s="124" t="s">
        <v>2447</v>
      </c>
      <c r="D182" s="124"/>
      <c r="E182" s="135">
        <v>12850000</v>
      </c>
    </row>
    <row r="183" spans="1:5" ht="15">
      <c r="A183" s="126"/>
      <c r="B183" s="136" t="s">
        <v>2455</v>
      </c>
      <c r="C183" s="124" t="s">
        <v>2447</v>
      </c>
      <c r="D183" s="124"/>
      <c r="E183" s="135">
        <v>13500000</v>
      </c>
    </row>
    <row r="184" spans="1:5" ht="15">
      <c r="A184" s="126"/>
      <c r="B184" s="136" t="s">
        <v>2456</v>
      </c>
      <c r="C184" s="124" t="s">
        <v>2447</v>
      </c>
      <c r="D184" s="124"/>
      <c r="E184" s="135">
        <v>15500000</v>
      </c>
    </row>
    <row r="185" spans="1:5" ht="15">
      <c r="A185" s="126"/>
      <c r="B185" s="136" t="s">
        <v>2457</v>
      </c>
      <c r="C185" s="124" t="s">
        <v>2447</v>
      </c>
      <c r="D185" s="124"/>
      <c r="E185" s="135">
        <v>5860000</v>
      </c>
    </row>
    <row r="186" spans="1:5" ht="15">
      <c r="A186" s="126"/>
      <c r="B186" s="136" t="s">
        <v>2458</v>
      </c>
      <c r="C186" s="124" t="s">
        <v>2447</v>
      </c>
      <c r="D186" s="124"/>
      <c r="E186" s="135">
        <v>6050000</v>
      </c>
    </row>
    <row r="187" spans="1:5" ht="15">
      <c r="A187" s="126"/>
      <c r="B187" s="136" t="s">
        <v>2459</v>
      </c>
      <c r="C187" s="124" t="s">
        <v>2447</v>
      </c>
      <c r="D187" s="124"/>
      <c r="E187" s="135">
        <v>6250000</v>
      </c>
    </row>
    <row r="188" spans="1:5" ht="15">
      <c r="A188" s="126"/>
      <c r="B188" s="136" t="s">
        <v>2460</v>
      </c>
      <c r="C188" s="124" t="s">
        <v>2447</v>
      </c>
      <c r="D188" s="124"/>
      <c r="E188" s="135">
        <v>6450000</v>
      </c>
    </row>
    <row r="189" spans="1:5" ht="15">
      <c r="A189" s="126"/>
      <c r="B189" s="136" t="s">
        <v>2461</v>
      </c>
      <c r="C189" s="124" t="s">
        <v>2447</v>
      </c>
      <c r="D189" s="124"/>
      <c r="E189" s="135">
        <v>6650000</v>
      </c>
    </row>
    <row r="190" spans="1:5" ht="15">
      <c r="A190" s="126"/>
      <c r="B190" s="136" t="s">
        <v>2462</v>
      </c>
      <c r="C190" s="124" t="s">
        <v>2447</v>
      </c>
      <c r="D190" s="124"/>
      <c r="E190" s="135">
        <v>6950000</v>
      </c>
    </row>
    <row r="191" spans="1:5" ht="15">
      <c r="A191" s="126"/>
      <c r="B191" s="136" t="s">
        <v>2463</v>
      </c>
      <c r="C191" s="124" t="s">
        <v>2447</v>
      </c>
      <c r="D191" s="124"/>
      <c r="E191" s="135">
        <v>7850000</v>
      </c>
    </row>
    <row r="192" spans="1:5" ht="15">
      <c r="A192" s="126"/>
      <c r="B192" s="136" t="s">
        <v>2464</v>
      </c>
      <c r="C192" s="124" t="s">
        <v>2447</v>
      </c>
      <c r="D192" s="124"/>
      <c r="E192" s="135">
        <v>7450000</v>
      </c>
    </row>
    <row r="193" spans="1:5" ht="15">
      <c r="A193" s="126"/>
      <c r="B193" s="136" t="s">
        <v>2465</v>
      </c>
      <c r="C193" s="124" t="s">
        <v>2447</v>
      </c>
      <c r="D193" s="124"/>
      <c r="E193" s="135">
        <v>8320000</v>
      </c>
    </row>
    <row r="194" spans="1:5" ht="15">
      <c r="A194" s="126"/>
      <c r="B194" s="136" t="s">
        <v>2466</v>
      </c>
      <c r="C194" s="124" t="s">
        <v>2447</v>
      </c>
      <c r="D194" s="124"/>
      <c r="E194" s="135">
        <v>8735000</v>
      </c>
    </row>
    <row r="195" spans="1:5" ht="15">
      <c r="A195" s="126"/>
      <c r="B195" s="136" t="s">
        <v>2467</v>
      </c>
      <c r="C195" s="124" t="s">
        <v>2447</v>
      </c>
      <c r="D195" s="124"/>
      <c r="E195" s="135">
        <v>9215000</v>
      </c>
    </row>
    <row r="196" spans="1:5" ht="15">
      <c r="A196" s="126"/>
      <c r="B196" s="136" t="s">
        <v>2468</v>
      </c>
      <c r="C196" s="124" t="s">
        <v>2447</v>
      </c>
      <c r="D196" s="124"/>
      <c r="E196" s="135">
        <v>7410000</v>
      </c>
    </row>
    <row r="197" spans="1:5" ht="15">
      <c r="A197" s="126"/>
      <c r="B197" s="136" t="s">
        <v>2469</v>
      </c>
      <c r="C197" s="124" t="s">
        <v>2447</v>
      </c>
      <c r="D197" s="124"/>
      <c r="E197" s="135">
        <v>8450000</v>
      </c>
    </row>
    <row r="198" spans="1:5" ht="15">
      <c r="A198" s="126"/>
      <c r="B198" s="136" t="s">
        <v>2470</v>
      </c>
      <c r="C198" s="124" t="s">
        <v>2447</v>
      </c>
      <c r="D198" s="124"/>
      <c r="E198" s="135">
        <v>8653000</v>
      </c>
    </row>
    <row r="199" spans="1:5" ht="15">
      <c r="A199" s="126"/>
      <c r="B199" s="136" t="s">
        <v>2471</v>
      </c>
      <c r="C199" s="124" t="s">
        <v>2447</v>
      </c>
      <c r="D199" s="124"/>
      <c r="E199" s="135">
        <v>9325000</v>
      </c>
    </row>
    <row r="200" spans="1:5" ht="15">
      <c r="A200" s="126"/>
      <c r="B200" s="136" t="s">
        <v>2472</v>
      </c>
      <c r="C200" s="124" t="s">
        <v>2447</v>
      </c>
      <c r="D200" s="124"/>
      <c r="E200" s="135">
        <v>4250000</v>
      </c>
    </row>
    <row r="201" spans="1:5" ht="15">
      <c r="A201" s="126"/>
      <c r="B201" s="136" t="s">
        <v>2473</v>
      </c>
      <c r="C201" s="124" t="s">
        <v>2447</v>
      </c>
      <c r="D201" s="124"/>
      <c r="E201" s="135">
        <v>6120000</v>
      </c>
    </row>
    <row r="202" spans="1:5" ht="15">
      <c r="A202" s="126"/>
      <c r="B202" s="136" t="s">
        <v>2474</v>
      </c>
      <c r="C202" s="124" t="s">
        <v>2447</v>
      </c>
      <c r="D202" s="124"/>
      <c r="E202" s="135">
        <v>7250000</v>
      </c>
    </row>
    <row r="203" spans="1:5" ht="15">
      <c r="A203" s="126"/>
      <c r="B203" s="136" t="s">
        <v>2475</v>
      </c>
      <c r="C203" s="124" t="s">
        <v>2447</v>
      </c>
      <c r="D203" s="124"/>
      <c r="E203" s="135">
        <v>7890000</v>
      </c>
    </row>
    <row r="204" spans="1:5" ht="15">
      <c r="A204" s="126"/>
      <c r="B204" s="136" t="s">
        <v>2476</v>
      </c>
      <c r="C204" s="124" t="s">
        <v>2447</v>
      </c>
      <c r="D204" s="124"/>
      <c r="E204" s="135">
        <v>8150000</v>
      </c>
    </row>
    <row r="205" spans="1:5" ht="41.25" customHeight="1">
      <c r="A205" s="126" t="s">
        <v>380</v>
      </c>
      <c r="B205" s="199" t="s">
        <v>2477</v>
      </c>
      <c r="C205" s="124"/>
      <c r="D205" s="310" t="s">
        <v>2523</v>
      </c>
      <c r="E205" s="135"/>
    </row>
    <row r="206" spans="1:5" ht="15">
      <c r="A206" s="126"/>
      <c r="B206" s="136" t="s">
        <v>2500</v>
      </c>
      <c r="C206" s="124" t="s">
        <v>2447</v>
      </c>
      <c r="D206" s="124"/>
      <c r="E206" s="135">
        <v>12000000</v>
      </c>
    </row>
    <row r="207" spans="1:5" ht="15">
      <c r="A207" s="126"/>
      <c r="B207" s="136" t="s">
        <v>2501</v>
      </c>
      <c r="C207" s="124" t="s">
        <v>2447</v>
      </c>
      <c r="D207" s="124"/>
      <c r="E207" s="135">
        <v>12400000</v>
      </c>
    </row>
    <row r="208" spans="1:5" ht="15">
      <c r="A208" s="126"/>
      <c r="B208" s="136" t="s">
        <v>2502</v>
      </c>
      <c r="C208" s="124" t="s">
        <v>2447</v>
      </c>
      <c r="D208" s="124"/>
      <c r="E208" s="135">
        <v>12400000</v>
      </c>
    </row>
    <row r="209" spans="1:5" ht="15">
      <c r="A209" s="126"/>
      <c r="B209" s="136" t="s">
        <v>2503</v>
      </c>
      <c r="C209" s="124" t="s">
        <v>2447</v>
      </c>
      <c r="D209" s="124"/>
      <c r="E209" s="135">
        <v>12600000</v>
      </c>
    </row>
    <row r="210" spans="1:5" ht="15">
      <c r="A210" s="126"/>
      <c r="B210" s="136" t="s">
        <v>2504</v>
      </c>
      <c r="C210" s="124" t="s">
        <v>2447</v>
      </c>
      <c r="D210" s="124"/>
      <c r="E210" s="135">
        <v>12600000</v>
      </c>
    </row>
    <row r="211" spans="1:5" ht="15">
      <c r="A211" s="126"/>
      <c r="B211" s="136" t="s">
        <v>2505</v>
      </c>
      <c r="C211" s="124" t="s">
        <v>2447</v>
      </c>
      <c r="D211" s="124"/>
      <c r="E211" s="135">
        <v>13200000</v>
      </c>
    </row>
    <row r="212" spans="1:5" ht="15">
      <c r="A212" s="126"/>
      <c r="B212" s="136" t="s">
        <v>2506</v>
      </c>
      <c r="C212" s="124" t="s">
        <v>2447</v>
      </c>
      <c r="D212" s="124"/>
      <c r="E212" s="135">
        <v>13800000</v>
      </c>
    </row>
    <row r="213" spans="1:5" ht="15">
      <c r="A213" s="126"/>
      <c r="B213" s="136" t="s">
        <v>2507</v>
      </c>
      <c r="C213" s="124" t="s">
        <v>2447</v>
      </c>
      <c r="D213" s="124"/>
      <c r="E213" s="135">
        <v>13800000</v>
      </c>
    </row>
    <row r="214" spans="1:5" ht="15">
      <c r="A214" s="126"/>
      <c r="B214" s="136" t="s">
        <v>2508</v>
      </c>
      <c r="C214" s="124" t="s">
        <v>2447</v>
      </c>
      <c r="D214" s="124"/>
      <c r="E214" s="135">
        <v>14200000</v>
      </c>
    </row>
    <row r="215" spans="1:5" ht="15">
      <c r="A215" s="126"/>
      <c r="B215" s="136" t="s">
        <v>2509</v>
      </c>
      <c r="C215" s="124" t="s">
        <v>2447</v>
      </c>
      <c r="D215" s="124"/>
      <c r="E215" s="135">
        <v>15200000</v>
      </c>
    </row>
    <row r="216" spans="1:5" ht="15">
      <c r="A216" s="126"/>
      <c r="B216" s="136" t="s">
        <v>2499</v>
      </c>
      <c r="C216" s="124"/>
      <c r="D216" s="124"/>
      <c r="E216" s="135">
        <v>17000000</v>
      </c>
    </row>
    <row r="217" spans="1:5" ht="15">
      <c r="A217" s="126"/>
      <c r="B217" s="136" t="s">
        <v>2510</v>
      </c>
      <c r="C217" s="124" t="s">
        <v>2447</v>
      </c>
      <c r="D217" s="124"/>
      <c r="E217" s="135">
        <v>10100000</v>
      </c>
    </row>
    <row r="218" spans="1:5" ht="15">
      <c r="A218" s="126"/>
      <c r="B218" s="136" t="s">
        <v>2511</v>
      </c>
      <c r="C218" s="124" t="s">
        <v>2447</v>
      </c>
      <c r="D218" s="124"/>
      <c r="E218" s="135">
        <v>10400000</v>
      </c>
    </row>
    <row r="219" spans="1:5" ht="15">
      <c r="A219" s="126"/>
      <c r="B219" s="136" t="s">
        <v>2512</v>
      </c>
      <c r="C219" s="124" t="s">
        <v>2447</v>
      </c>
      <c r="D219" s="124"/>
      <c r="E219" s="135">
        <v>10400000</v>
      </c>
    </row>
    <row r="220" spans="1:5" ht="15">
      <c r="A220" s="126"/>
      <c r="B220" s="136" t="s">
        <v>2513</v>
      </c>
      <c r="C220" s="124" t="s">
        <v>2447</v>
      </c>
      <c r="D220" s="124"/>
      <c r="E220" s="135">
        <v>10500000</v>
      </c>
    </row>
    <row r="221" spans="1:5" ht="15">
      <c r="A221" s="126"/>
      <c r="B221" s="136" t="s">
        <v>2514</v>
      </c>
      <c r="C221" s="124" t="s">
        <v>2447</v>
      </c>
      <c r="D221" s="124"/>
      <c r="E221" s="135">
        <v>10600000</v>
      </c>
    </row>
    <row r="222" spans="1:5" ht="15">
      <c r="A222" s="126"/>
      <c r="B222" s="136" t="s">
        <v>2515</v>
      </c>
      <c r="C222" s="124" t="s">
        <v>2447</v>
      </c>
      <c r="D222" s="124"/>
      <c r="E222" s="135">
        <v>10700000</v>
      </c>
    </row>
    <row r="223" spans="1:5" ht="15">
      <c r="A223" s="126"/>
      <c r="B223" s="136" t="s">
        <v>2516</v>
      </c>
      <c r="C223" s="124" t="s">
        <v>2447</v>
      </c>
      <c r="D223" s="124"/>
      <c r="E223" s="135">
        <v>10800000</v>
      </c>
    </row>
    <row r="224" spans="1:5" ht="42.75" customHeight="1">
      <c r="A224" s="126" t="s">
        <v>380</v>
      </c>
      <c r="B224" s="199" t="s">
        <v>2478</v>
      </c>
      <c r="C224" s="310"/>
      <c r="D224" s="310" t="s">
        <v>2523</v>
      </c>
      <c r="E224" s="135"/>
    </row>
    <row r="225" spans="1:5" ht="15">
      <c r="A225" s="126"/>
      <c r="B225" s="136" t="s">
        <v>2479</v>
      </c>
      <c r="C225" s="124" t="s">
        <v>2447</v>
      </c>
      <c r="D225" s="124"/>
      <c r="E225" s="135">
        <v>7750000</v>
      </c>
    </row>
    <row r="226" spans="1:5" ht="15">
      <c r="A226" s="126"/>
      <c r="B226" s="136" t="s">
        <v>2480</v>
      </c>
      <c r="C226" s="124" t="s">
        <v>2447</v>
      </c>
      <c r="D226" s="124"/>
      <c r="E226" s="135">
        <v>8680000</v>
      </c>
    </row>
    <row r="227" spans="1:5" ht="15">
      <c r="A227" s="126"/>
      <c r="B227" s="136" t="s">
        <v>2481</v>
      </c>
      <c r="C227" s="124" t="s">
        <v>2447</v>
      </c>
      <c r="D227" s="124"/>
      <c r="E227" s="135">
        <v>10400000</v>
      </c>
    </row>
    <row r="228" spans="1:5" ht="15">
      <c r="A228" s="126"/>
      <c r="B228" s="136" t="s">
        <v>2482</v>
      </c>
      <c r="C228" s="124" t="s">
        <v>2447</v>
      </c>
      <c r="D228" s="124"/>
      <c r="E228" s="135">
        <v>12500000</v>
      </c>
    </row>
    <row r="229" spans="1:5" ht="15">
      <c r="A229" s="126"/>
      <c r="B229" s="136" t="s">
        <v>2483</v>
      </c>
      <c r="C229" s="124" t="s">
        <v>2447</v>
      </c>
      <c r="D229" s="124"/>
      <c r="E229" s="135">
        <v>15500000</v>
      </c>
    </row>
    <row r="230" spans="1:5" ht="15">
      <c r="A230" s="126"/>
      <c r="B230" s="136" t="s">
        <v>2484</v>
      </c>
      <c r="C230" s="124" t="s">
        <v>2447</v>
      </c>
      <c r="D230" s="124"/>
      <c r="E230" s="135">
        <v>19500000</v>
      </c>
    </row>
    <row r="231" spans="1:5" ht="15">
      <c r="A231" s="126"/>
      <c r="B231" s="136" t="s">
        <v>2485</v>
      </c>
      <c r="C231" s="124" t="s">
        <v>2447</v>
      </c>
      <c r="D231" s="124"/>
      <c r="E231" s="135">
        <v>22500000</v>
      </c>
    </row>
    <row r="232" spans="1:5" ht="15">
      <c r="A232" s="126"/>
      <c r="B232" s="136" t="s">
        <v>2486</v>
      </c>
      <c r="C232" s="124" t="s">
        <v>2447</v>
      </c>
      <c r="D232" s="124"/>
      <c r="E232" s="135">
        <v>23500000</v>
      </c>
    </row>
    <row r="233" spans="1:5" ht="15">
      <c r="A233" s="126"/>
      <c r="B233" s="136" t="s">
        <v>2487</v>
      </c>
      <c r="C233" s="124" t="s">
        <v>2447</v>
      </c>
      <c r="D233" s="124"/>
      <c r="E233" s="135">
        <v>25500000</v>
      </c>
    </row>
    <row r="234" spans="1:5" ht="15">
      <c r="A234" s="126"/>
      <c r="B234" s="136" t="s">
        <v>2488</v>
      </c>
      <c r="C234" s="124" t="s">
        <v>2447</v>
      </c>
      <c r="D234" s="124"/>
      <c r="E234" s="135">
        <v>27500000</v>
      </c>
    </row>
    <row r="235" spans="1:5" ht="15">
      <c r="A235" s="126" t="s">
        <v>380</v>
      </c>
      <c r="B235" s="133" t="s">
        <v>2489</v>
      </c>
      <c r="C235" s="124"/>
      <c r="D235" s="124" t="s">
        <v>2524</v>
      </c>
      <c r="E235" s="135"/>
    </row>
    <row r="236" spans="1:5" ht="15">
      <c r="A236" s="126"/>
      <c r="B236" s="136" t="s">
        <v>2490</v>
      </c>
      <c r="C236" s="124" t="s">
        <v>1142</v>
      </c>
      <c r="D236" s="124"/>
      <c r="E236" s="135">
        <v>913500</v>
      </c>
    </row>
    <row r="237" spans="1:5" ht="15">
      <c r="A237" s="126"/>
      <c r="B237" s="136" t="s">
        <v>2491</v>
      </c>
      <c r="C237" s="124" t="s">
        <v>1142</v>
      </c>
      <c r="D237" s="124"/>
      <c r="E237" s="135">
        <v>609000</v>
      </c>
    </row>
    <row r="238" spans="1:5" ht="15">
      <c r="A238" s="126"/>
      <c r="B238" s="136" t="s">
        <v>2492</v>
      </c>
      <c r="C238" s="124" t="s">
        <v>1142</v>
      </c>
      <c r="D238" s="124"/>
      <c r="E238" s="135">
        <v>573300</v>
      </c>
    </row>
    <row r="239" spans="1:5" ht="15">
      <c r="A239" s="126"/>
      <c r="B239" s="136" t="s">
        <v>2493</v>
      </c>
      <c r="C239" s="124" t="s">
        <v>1142</v>
      </c>
      <c r="D239" s="124"/>
      <c r="E239" s="135">
        <v>537600</v>
      </c>
    </row>
    <row r="240" spans="1:5" ht="15">
      <c r="A240" s="126"/>
      <c r="B240" s="136" t="s">
        <v>2494</v>
      </c>
      <c r="C240" s="124" t="s">
        <v>1142</v>
      </c>
      <c r="D240" s="124"/>
      <c r="E240" s="135">
        <v>753900</v>
      </c>
    </row>
    <row r="241" spans="1:5" ht="15">
      <c r="A241" s="126"/>
      <c r="B241" s="136" t="s">
        <v>2495</v>
      </c>
      <c r="C241" s="124" t="s">
        <v>1142</v>
      </c>
      <c r="D241" s="124"/>
      <c r="E241" s="135">
        <v>3675000</v>
      </c>
    </row>
    <row r="242" spans="1:5" ht="15">
      <c r="A242" s="126"/>
      <c r="B242" s="136" t="s">
        <v>2496</v>
      </c>
      <c r="C242" s="124" t="s">
        <v>1142</v>
      </c>
      <c r="D242" s="124"/>
      <c r="E242" s="135">
        <v>16327500</v>
      </c>
    </row>
    <row r="243" spans="1:5" ht="15">
      <c r="A243" s="126"/>
      <c r="B243" s="136" t="s">
        <v>2517</v>
      </c>
      <c r="C243" s="124" t="s">
        <v>1142</v>
      </c>
      <c r="D243" s="124"/>
      <c r="E243" s="135">
        <v>17029950</v>
      </c>
    </row>
    <row r="244" spans="1:5" ht="15">
      <c r="A244" s="126"/>
      <c r="B244" s="136" t="s">
        <v>2518</v>
      </c>
      <c r="C244" s="124" t="s">
        <v>1142</v>
      </c>
      <c r="D244" s="124"/>
      <c r="E244" s="135">
        <v>13650000</v>
      </c>
    </row>
    <row r="245" spans="1:5" ht="15">
      <c r="A245" s="126"/>
      <c r="B245" s="136" t="s">
        <v>2519</v>
      </c>
      <c r="C245" s="124" t="s">
        <v>1142</v>
      </c>
      <c r="D245" s="124"/>
      <c r="E245" s="135">
        <v>16342200</v>
      </c>
    </row>
    <row r="246" spans="1:5" ht="15">
      <c r="A246" s="126"/>
      <c r="B246" s="136" t="s">
        <v>2520</v>
      </c>
      <c r="C246" s="124" t="s">
        <v>1142</v>
      </c>
      <c r="D246" s="124"/>
      <c r="E246" s="135">
        <v>13125000</v>
      </c>
    </row>
    <row r="247" spans="1:5" ht="15">
      <c r="A247" s="126"/>
      <c r="B247" s="136" t="s">
        <v>2517</v>
      </c>
      <c r="C247" s="124" t="s">
        <v>1142</v>
      </c>
      <c r="D247" s="124"/>
      <c r="E247" s="135">
        <v>80000000</v>
      </c>
    </row>
    <row r="248" spans="1:5" ht="15">
      <c r="A248" s="131" t="s">
        <v>2601</v>
      </c>
      <c r="B248" s="123" t="s">
        <v>2602</v>
      </c>
      <c r="C248" s="124"/>
      <c r="D248" s="124"/>
      <c r="E248" s="135"/>
    </row>
    <row r="249" spans="1:5" ht="15">
      <c r="A249" s="126"/>
      <c r="B249" s="136" t="s">
        <v>2603</v>
      </c>
      <c r="C249" s="124"/>
      <c r="D249" s="124"/>
      <c r="E249" s="135"/>
    </row>
    <row r="250" spans="1:5" ht="15">
      <c r="A250" s="126" t="s">
        <v>380</v>
      </c>
      <c r="B250" s="313" t="s">
        <v>2613</v>
      </c>
      <c r="C250" s="124"/>
      <c r="D250" s="124" t="s">
        <v>2705</v>
      </c>
      <c r="E250" s="135"/>
    </row>
    <row r="251" spans="1:5" ht="15">
      <c r="A251" s="126"/>
      <c r="B251" s="136" t="s">
        <v>2604</v>
      </c>
      <c r="C251" s="124" t="s">
        <v>1387</v>
      </c>
      <c r="D251" s="124"/>
      <c r="E251" s="135">
        <v>1320000</v>
      </c>
    </row>
    <row r="252" spans="1:5" ht="15">
      <c r="A252" s="126"/>
      <c r="B252" s="136" t="s">
        <v>2605</v>
      </c>
      <c r="C252" s="124" t="s">
        <v>282</v>
      </c>
      <c r="D252" s="124"/>
      <c r="E252" s="135">
        <v>1545241</v>
      </c>
    </row>
    <row r="253" spans="1:5" ht="15">
      <c r="A253" s="126"/>
      <c r="B253" s="136" t="s">
        <v>2606</v>
      </c>
      <c r="C253" s="124" t="s">
        <v>282</v>
      </c>
      <c r="D253" s="124"/>
      <c r="E253" s="135">
        <v>1633536</v>
      </c>
    </row>
    <row r="254" spans="1:5" ht="15">
      <c r="A254" s="126"/>
      <c r="B254" s="136" t="s">
        <v>2607</v>
      </c>
      <c r="C254" s="124" t="s">
        <v>282</v>
      </c>
      <c r="D254" s="124"/>
      <c r="E254" s="135">
        <v>1600000</v>
      </c>
    </row>
    <row r="255" spans="1:5" ht="15">
      <c r="A255" s="126"/>
      <c r="B255" s="136" t="s">
        <v>2608</v>
      </c>
      <c r="C255" s="124" t="s">
        <v>282</v>
      </c>
      <c r="D255" s="124"/>
      <c r="E255" s="135">
        <v>1853633</v>
      </c>
    </row>
    <row r="256" spans="1:5" ht="15">
      <c r="A256" s="126"/>
      <c r="B256" s="136" t="s">
        <v>2609</v>
      </c>
      <c r="C256" s="124" t="s">
        <v>282</v>
      </c>
      <c r="D256" s="124"/>
      <c r="E256" s="135">
        <v>1940649</v>
      </c>
    </row>
    <row r="257" spans="1:5" ht="15">
      <c r="A257" s="126"/>
      <c r="B257" s="136" t="s">
        <v>2610</v>
      </c>
      <c r="C257" s="124" t="s">
        <v>282</v>
      </c>
      <c r="D257" s="124"/>
      <c r="E257" s="135">
        <v>1806287</v>
      </c>
    </row>
    <row r="258" spans="1:5" ht="15">
      <c r="A258" s="126"/>
      <c r="B258" s="136" t="s">
        <v>2611</v>
      </c>
      <c r="C258" s="124" t="s">
        <v>282</v>
      </c>
      <c r="D258" s="124"/>
      <c r="E258" s="135">
        <v>2110652</v>
      </c>
    </row>
    <row r="259" spans="1:5" ht="15">
      <c r="A259" s="126"/>
      <c r="B259" s="136" t="s">
        <v>2612</v>
      </c>
      <c r="C259" s="124" t="s">
        <v>282</v>
      </c>
      <c r="D259" s="124"/>
      <c r="E259" s="135">
        <v>2411555</v>
      </c>
    </row>
    <row r="260" spans="1:5" ht="15">
      <c r="A260" s="126" t="s">
        <v>380</v>
      </c>
      <c r="B260" s="133" t="s">
        <v>2614</v>
      </c>
      <c r="C260" s="124"/>
      <c r="D260" s="124" t="s">
        <v>2352</v>
      </c>
      <c r="E260" s="135"/>
    </row>
    <row r="261" spans="1:5" ht="15">
      <c r="A261" s="126"/>
      <c r="B261" s="136" t="s">
        <v>2615</v>
      </c>
      <c r="C261" s="124" t="s">
        <v>1387</v>
      </c>
      <c r="D261" s="124"/>
      <c r="E261" s="135">
        <v>1905200</v>
      </c>
    </row>
    <row r="262" spans="1:5" ht="15">
      <c r="A262" s="126"/>
      <c r="B262" s="136" t="s">
        <v>2616</v>
      </c>
      <c r="C262" s="124" t="s">
        <v>282</v>
      </c>
      <c r="D262" s="124"/>
      <c r="E262" s="135">
        <v>2085725</v>
      </c>
    </row>
    <row r="263" spans="1:5" ht="15">
      <c r="A263" s="126"/>
      <c r="B263" s="136" t="s">
        <v>2617</v>
      </c>
      <c r="C263" s="124" t="s">
        <v>282</v>
      </c>
      <c r="D263" s="124"/>
      <c r="E263" s="135">
        <v>2157230</v>
      </c>
    </row>
    <row r="264" spans="1:5" ht="15">
      <c r="A264" s="126"/>
      <c r="B264" s="136" t="s">
        <v>2618</v>
      </c>
      <c r="C264" s="124" t="s">
        <v>282</v>
      </c>
      <c r="D264" s="124"/>
      <c r="E264" s="135">
        <v>2190210</v>
      </c>
    </row>
    <row r="265" spans="1:5" ht="15">
      <c r="A265" s="126"/>
      <c r="B265" s="136" t="s">
        <v>2619</v>
      </c>
      <c r="C265" s="124" t="s">
        <v>282</v>
      </c>
      <c r="D265" s="124"/>
      <c r="E265" s="135">
        <v>2372812</v>
      </c>
    </row>
    <row r="266" spans="1:5" ht="15">
      <c r="A266" s="126"/>
      <c r="B266" s="136" t="s">
        <v>2620</v>
      </c>
      <c r="C266" s="124" t="s">
        <v>282</v>
      </c>
      <c r="D266" s="124"/>
      <c r="E266" s="135">
        <v>2605300</v>
      </c>
    </row>
    <row r="267" spans="1:5" ht="15">
      <c r="A267" s="126"/>
      <c r="B267" s="136" t="s">
        <v>2621</v>
      </c>
      <c r="C267" s="124" t="s">
        <v>282</v>
      </c>
      <c r="D267" s="124"/>
      <c r="E267" s="135">
        <v>2682215</v>
      </c>
    </row>
    <row r="268" spans="1:5" ht="15">
      <c r="A268" s="126"/>
      <c r="B268" s="136" t="s">
        <v>2622</v>
      </c>
      <c r="C268" s="124" t="s">
        <v>282</v>
      </c>
      <c r="D268" s="124"/>
      <c r="E268" s="135">
        <v>2702500</v>
      </c>
    </row>
    <row r="269" spans="1:5" ht="15">
      <c r="A269" s="126"/>
      <c r="B269" s="136" t="s">
        <v>2623</v>
      </c>
      <c r="C269" s="124" t="s">
        <v>282</v>
      </c>
      <c r="D269" s="124"/>
      <c r="E269" s="135">
        <v>2830210</v>
      </c>
    </row>
    <row r="270" spans="1:5" ht="15">
      <c r="A270" s="126"/>
      <c r="B270" s="136" t="s">
        <v>2624</v>
      </c>
      <c r="C270" s="124" t="s">
        <v>282</v>
      </c>
      <c r="D270" s="124"/>
      <c r="E270" s="135">
        <v>2910205</v>
      </c>
    </row>
    <row r="271" spans="1:5" ht="15">
      <c r="A271" s="126"/>
      <c r="B271" s="136" t="s">
        <v>2625</v>
      </c>
      <c r="C271" s="124" t="s">
        <v>282</v>
      </c>
      <c r="D271" s="124"/>
      <c r="E271" s="135">
        <v>3302100</v>
      </c>
    </row>
    <row r="272" spans="1:5" ht="15">
      <c r="A272" s="126"/>
      <c r="B272" s="136" t="s">
        <v>2626</v>
      </c>
      <c r="C272" s="124" t="s">
        <v>282</v>
      </c>
      <c r="D272" s="124"/>
      <c r="E272" s="135">
        <v>3751300</v>
      </c>
    </row>
    <row r="273" spans="1:5" ht="15">
      <c r="A273" s="126"/>
      <c r="B273" s="136" t="s">
        <v>2627</v>
      </c>
      <c r="C273" s="124" t="s">
        <v>282</v>
      </c>
      <c r="D273" s="124"/>
      <c r="E273" s="135">
        <v>3817120</v>
      </c>
    </row>
    <row r="274" spans="1:5" ht="15">
      <c r="A274" s="126"/>
      <c r="B274" s="136" t="s">
        <v>2628</v>
      </c>
      <c r="C274" s="124" t="s">
        <v>282</v>
      </c>
      <c r="D274" s="124"/>
      <c r="E274" s="135">
        <v>4700602</v>
      </c>
    </row>
    <row r="275" spans="1:5" ht="15">
      <c r="A275" s="126"/>
      <c r="B275" s="136" t="s">
        <v>2629</v>
      </c>
      <c r="C275" s="124" t="s">
        <v>282</v>
      </c>
      <c r="D275" s="124"/>
      <c r="E275" s="135">
        <v>5100030</v>
      </c>
    </row>
    <row r="276" spans="1:5" ht="15">
      <c r="A276" s="126"/>
      <c r="B276" s="136" t="s">
        <v>2630</v>
      </c>
      <c r="C276" s="124" t="s">
        <v>282</v>
      </c>
      <c r="D276" s="124"/>
      <c r="E276" s="135">
        <v>5420245</v>
      </c>
    </row>
    <row r="277" spans="1:5" ht="15">
      <c r="A277" s="126"/>
      <c r="B277" s="136" t="s">
        <v>2631</v>
      </c>
      <c r="C277" s="124" t="s">
        <v>282</v>
      </c>
      <c r="D277" s="124"/>
      <c r="E277" s="135">
        <v>6564800</v>
      </c>
    </row>
    <row r="278" spans="1:5" ht="15">
      <c r="A278" s="126"/>
      <c r="B278" s="136" t="s">
        <v>2632</v>
      </c>
      <c r="C278" s="124" t="s">
        <v>282</v>
      </c>
      <c r="D278" s="124"/>
      <c r="E278" s="135">
        <v>7995623</v>
      </c>
    </row>
    <row r="279" spans="1:5" ht="15">
      <c r="A279" s="126"/>
      <c r="B279" s="136" t="s">
        <v>2633</v>
      </c>
      <c r="C279" s="124" t="s">
        <v>282</v>
      </c>
      <c r="D279" s="124"/>
      <c r="E279" s="135">
        <v>12102362</v>
      </c>
    </row>
    <row r="280" spans="1:5" ht="15">
      <c r="A280" s="126"/>
      <c r="B280" s="136" t="s">
        <v>2634</v>
      </c>
      <c r="C280" s="124" t="s">
        <v>282</v>
      </c>
      <c r="D280" s="124"/>
      <c r="E280" s="135">
        <v>12908200</v>
      </c>
    </row>
    <row r="281" spans="1:5" ht="15">
      <c r="A281" s="126"/>
      <c r="B281" s="136" t="s">
        <v>2635</v>
      </c>
      <c r="C281" s="124" t="s">
        <v>282</v>
      </c>
      <c r="D281" s="124"/>
      <c r="E281" s="135">
        <v>16312120</v>
      </c>
    </row>
    <row r="282" spans="1:5" ht="15">
      <c r="A282" s="126"/>
      <c r="B282" s="136" t="s">
        <v>2636</v>
      </c>
      <c r="C282" s="124" t="s">
        <v>282</v>
      </c>
      <c r="D282" s="124"/>
      <c r="E282" s="135">
        <v>17291300</v>
      </c>
    </row>
    <row r="283" spans="1:5" ht="15">
      <c r="A283" s="126"/>
      <c r="B283" s="136" t="s">
        <v>2637</v>
      </c>
      <c r="C283" s="124" t="s">
        <v>282</v>
      </c>
      <c r="D283" s="124"/>
      <c r="E283" s="135">
        <v>16251604</v>
      </c>
    </row>
    <row r="284" spans="1:5" ht="15">
      <c r="A284" s="126"/>
      <c r="B284" s="136" t="s">
        <v>2638</v>
      </c>
      <c r="C284" s="124" t="s">
        <v>282</v>
      </c>
      <c r="D284" s="124"/>
      <c r="E284" s="135">
        <v>18190812</v>
      </c>
    </row>
    <row r="285" spans="1:5" ht="15">
      <c r="A285" s="126"/>
      <c r="B285" s="136" t="s">
        <v>2639</v>
      </c>
      <c r="C285" s="124" t="s">
        <v>282</v>
      </c>
      <c r="D285" s="124"/>
      <c r="E285" s="135">
        <v>19312210</v>
      </c>
    </row>
    <row r="286" spans="1:5" ht="15">
      <c r="A286" s="126"/>
      <c r="B286" s="136" t="s">
        <v>2640</v>
      </c>
      <c r="C286" s="124" t="s">
        <v>282</v>
      </c>
      <c r="D286" s="124"/>
      <c r="E286" s="135">
        <v>18195410</v>
      </c>
    </row>
    <row r="287" spans="1:5" ht="15">
      <c r="A287" s="126"/>
      <c r="B287" s="136" t="s">
        <v>2641</v>
      </c>
      <c r="C287" s="124" t="s">
        <v>282</v>
      </c>
      <c r="D287" s="124"/>
      <c r="E287" s="135">
        <v>19925320</v>
      </c>
    </row>
    <row r="288" spans="1:5" ht="15">
      <c r="A288" s="126"/>
      <c r="B288" s="136" t="s">
        <v>2642</v>
      </c>
      <c r="C288" s="124" t="s">
        <v>282</v>
      </c>
      <c r="D288" s="124"/>
      <c r="E288" s="135">
        <v>19995235</v>
      </c>
    </row>
    <row r="289" spans="1:5" ht="15">
      <c r="A289" s="126"/>
      <c r="B289" s="136" t="s">
        <v>2643</v>
      </c>
      <c r="C289" s="124" t="s">
        <v>282</v>
      </c>
      <c r="D289" s="124"/>
      <c r="E289" s="135">
        <v>21235272</v>
      </c>
    </row>
    <row r="290" spans="1:5" ht="15">
      <c r="A290" s="126"/>
      <c r="B290" s="136" t="s">
        <v>2644</v>
      </c>
      <c r="C290" s="124" t="s">
        <v>282</v>
      </c>
      <c r="D290" s="124"/>
      <c r="E290" s="135">
        <v>19542332</v>
      </c>
    </row>
    <row r="291" spans="1:5" ht="15">
      <c r="A291" s="126"/>
      <c r="B291" s="136" t="s">
        <v>2645</v>
      </c>
      <c r="C291" s="124" t="s">
        <v>282</v>
      </c>
      <c r="D291" s="124"/>
      <c r="E291" s="135">
        <v>22520140</v>
      </c>
    </row>
    <row r="292" spans="1:5" ht="15">
      <c r="A292" s="126"/>
      <c r="B292" s="136" t="s">
        <v>2646</v>
      </c>
      <c r="C292" s="124" t="s">
        <v>282</v>
      </c>
      <c r="D292" s="124"/>
      <c r="E292" s="135">
        <v>23686242</v>
      </c>
    </row>
    <row r="293" spans="1:5" ht="15">
      <c r="A293" s="126"/>
      <c r="B293" s="136" t="s">
        <v>2647</v>
      </c>
      <c r="C293" s="124" t="s">
        <v>282</v>
      </c>
      <c r="D293" s="124"/>
      <c r="E293" s="135">
        <v>24512909</v>
      </c>
    </row>
    <row r="294" spans="1:5" ht="15">
      <c r="A294" s="126"/>
      <c r="B294" s="136" t="s">
        <v>2648</v>
      </c>
      <c r="C294" s="124" t="s">
        <v>282</v>
      </c>
      <c r="D294" s="124"/>
      <c r="E294" s="135">
        <v>22379500</v>
      </c>
    </row>
    <row r="295" spans="1:5" ht="15">
      <c r="A295" s="126"/>
      <c r="B295" s="136" t="s">
        <v>2649</v>
      </c>
      <c r="C295" s="124" t="s">
        <v>282</v>
      </c>
      <c r="D295" s="124"/>
      <c r="E295" s="135">
        <v>23980600</v>
      </c>
    </row>
    <row r="296" spans="1:5" ht="15">
      <c r="A296" s="126"/>
      <c r="B296" s="136" t="s">
        <v>2650</v>
      </c>
      <c r="C296" s="124" t="s">
        <v>282</v>
      </c>
      <c r="D296" s="124"/>
      <c r="E296" s="135">
        <v>24956227</v>
      </c>
    </row>
    <row r="297" spans="1:5" ht="15">
      <c r="A297" s="126"/>
      <c r="B297" s="136" t="s">
        <v>2651</v>
      </c>
      <c r="C297" s="124" t="s">
        <v>282</v>
      </c>
      <c r="D297" s="124"/>
      <c r="E297" s="135">
        <v>27555723</v>
      </c>
    </row>
    <row r="298" spans="1:5" s="279" customFormat="1" ht="19.5" customHeight="1">
      <c r="A298" s="444" t="s">
        <v>1247</v>
      </c>
      <c r="B298" s="444"/>
      <c r="C298" s="444"/>
      <c r="D298" s="444"/>
      <c r="E298" s="444"/>
    </row>
    <row r="299" spans="1:5" s="279" customFormat="1" ht="19.5" customHeight="1">
      <c r="A299" s="297" t="s">
        <v>2652</v>
      </c>
      <c r="B299" s="298" t="s">
        <v>2653</v>
      </c>
      <c r="C299" s="299"/>
      <c r="D299" s="300"/>
      <c r="E299" s="308"/>
    </row>
    <row r="300" spans="1:5" s="279" customFormat="1" ht="19.5" customHeight="1">
      <c r="A300" s="301"/>
      <c r="B300" s="302" t="s">
        <v>2654</v>
      </c>
      <c r="C300" s="299"/>
      <c r="D300" s="300"/>
      <c r="E300" s="308"/>
    </row>
    <row r="301" spans="1:5" s="279" customFormat="1" ht="19.5" customHeight="1">
      <c r="A301" s="303" t="s">
        <v>380</v>
      </c>
      <c r="B301" s="304" t="s">
        <v>2655</v>
      </c>
      <c r="C301" s="299"/>
      <c r="D301" s="300" t="s">
        <v>2666</v>
      </c>
      <c r="E301" s="308"/>
    </row>
    <row r="302" spans="1:5" s="279" customFormat="1" ht="19.5" customHeight="1">
      <c r="A302" s="301"/>
      <c r="B302" s="305" t="s">
        <v>2656</v>
      </c>
      <c r="C302" s="299" t="s">
        <v>595</v>
      </c>
      <c r="D302" s="300"/>
      <c r="E302" s="300">
        <f>16450+300</f>
        <v>16750</v>
      </c>
    </row>
    <row r="303" spans="1:5" s="279" customFormat="1" ht="19.5" customHeight="1">
      <c r="A303" s="301"/>
      <c r="B303" s="305" t="s">
        <v>2657</v>
      </c>
      <c r="C303" s="299" t="s">
        <v>595</v>
      </c>
      <c r="D303" s="300"/>
      <c r="E303" s="300">
        <f>16450+300</f>
        <v>16750</v>
      </c>
    </row>
    <row r="304" spans="1:5" s="279" customFormat="1" ht="19.5" customHeight="1">
      <c r="A304" s="301"/>
      <c r="B304" s="305" t="s">
        <v>2658</v>
      </c>
      <c r="C304" s="299" t="s">
        <v>595</v>
      </c>
      <c r="D304" s="300"/>
      <c r="E304" s="300">
        <f>16550+300</f>
        <v>16850</v>
      </c>
    </row>
    <row r="305" spans="1:5" s="279" customFormat="1" ht="19.5" customHeight="1">
      <c r="A305" s="303" t="s">
        <v>380</v>
      </c>
      <c r="B305" s="304" t="s">
        <v>2659</v>
      </c>
      <c r="C305" s="299"/>
      <c r="D305" s="446" t="s">
        <v>2667</v>
      </c>
      <c r="E305" s="447"/>
    </row>
    <row r="306" spans="1:5" s="279" customFormat="1" ht="19.5" customHeight="1">
      <c r="A306" s="301"/>
      <c r="B306" s="305" t="s">
        <v>2660</v>
      </c>
      <c r="C306" s="299" t="s">
        <v>595</v>
      </c>
      <c r="D306" s="300"/>
      <c r="E306" s="300">
        <f>17100+300</f>
        <v>17400</v>
      </c>
    </row>
    <row r="307" spans="1:5" s="279" customFormat="1" ht="19.5" customHeight="1">
      <c r="A307" s="301"/>
      <c r="B307" s="305" t="s">
        <v>2661</v>
      </c>
      <c r="C307" s="299" t="s">
        <v>595</v>
      </c>
      <c r="D307" s="300"/>
      <c r="E307" s="300">
        <f>16950+300</f>
        <v>17250</v>
      </c>
    </row>
    <row r="308" spans="1:5" s="279" customFormat="1" ht="19.5" customHeight="1">
      <c r="A308" s="301"/>
      <c r="B308" s="305" t="s">
        <v>2662</v>
      </c>
      <c r="C308" s="299" t="s">
        <v>595</v>
      </c>
      <c r="D308" s="300"/>
      <c r="E308" s="300">
        <v>17250</v>
      </c>
    </row>
    <row r="309" spans="1:5" s="279" customFormat="1" ht="19.5" customHeight="1">
      <c r="A309" s="301"/>
      <c r="B309" s="305" t="s">
        <v>2663</v>
      </c>
      <c r="C309" s="299" t="s">
        <v>595</v>
      </c>
      <c r="D309" s="300"/>
      <c r="E309" s="300">
        <f>17100+300</f>
        <v>17400</v>
      </c>
    </row>
    <row r="310" spans="1:5" s="279" customFormat="1" ht="19.5" customHeight="1">
      <c r="A310" s="301"/>
      <c r="B310" s="305" t="s">
        <v>2664</v>
      </c>
      <c r="C310" s="299" t="s">
        <v>595</v>
      </c>
      <c r="D310" s="300"/>
      <c r="E310" s="300">
        <f>17100+300</f>
        <v>17400</v>
      </c>
    </row>
    <row r="311" spans="1:5" s="279" customFormat="1" ht="19.5" customHeight="1">
      <c r="A311" s="301"/>
      <c r="B311" s="305" t="s">
        <v>2665</v>
      </c>
      <c r="C311" s="299" t="s">
        <v>595</v>
      </c>
      <c r="D311" s="300"/>
      <c r="E311" s="300">
        <f>17050+300</f>
        <v>17350</v>
      </c>
    </row>
    <row r="312" spans="1:5" ht="15">
      <c r="A312" s="131" t="s">
        <v>2668</v>
      </c>
      <c r="B312" s="123" t="s">
        <v>1288</v>
      </c>
      <c r="C312" s="124"/>
      <c r="D312" s="124" t="s">
        <v>2353</v>
      </c>
      <c r="E312" s="125"/>
    </row>
    <row r="313" spans="1:5" ht="15" customHeight="1">
      <c r="A313" s="139"/>
      <c r="B313" s="445" t="s">
        <v>1289</v>
      </c>
      <c r="C313" s="445"/>
      <c r="D313" s="445"/>
      <c r="E313" s="445"/>
    </row>
    <row r="314" spans="1:5" ht="30">
      <c r="A314" s="126"/>
      <c r="B314" s="130" t="s">
        <v>1297</v>
      </c>
      <c r="C314" s="124" t="s">
        <v>595</v>
      </c>
      <c r="D314" s="124"/>
      <c r="E314" s="125">
        <v>27700</v>
      </c>
    </row>
    <row r="315" spans="1:5" ht="30">
      <c r="A315" s="126"/>
      <c r="B315" s="130" t="s">
        <v>1298</v>
      </c>
      <c r="C315" s="124" t="s">
        <v>595</v>
      </c>
      <c r="D315" s="124"/>
      <c r="E315" s="125">
        <v>26900</v>
      </c>
    </row>
    <row r="316" spans="1:5" ht="29.25" customHeight="1">
      <c r="A316" s="126"/>
      <c r="B316" s="130" t="s">
        <v>1295</v>
      </c>
      <c r="C316" s="124" t="s">
        <v>595</v>
      </c>
      <c r="D316" s="124"/>
      <c r="E316" s="125">
        <v>26600</v>
      </c>
    </row>
    <row r="317" spans="1:5" ht="30" customHeight="1">
      <c r="A317" s="126"/>
      <c r="B317" s="130" t="s">
        <v>1296</v>
      </c>
      <c r="C317" s="124" t="s">
        <v>595</v>
      </c>
      <c r="D317" s="124"/>
      <c r="E317" s="125">
        <v>26600</v>
      </c>
    </row>
    <row r="318" spans="1:5" ht="30">
      <c r="A318" s="126"/>
      <c r="B318" s="130" t="s">
        <v>1291</v>
      </c>
      <c r="C318" s="124" t="s">
        <v>595</v>
      </c>
      <c r="D318" s="124"/>
      <c r="E318" s="125">
        <v>26800</v>
      </c>
    </row>
    <row r="319" spans="1:5" ht="19.5" customHeight="1">
      <c r="A319" s="126"/>
      <c r="B319" s="130" t="s">
        <v>1290</v>
      </c>
      <c r="C319" s="124" t="s">
        <v>595</v>
      </c>
      <c r="D319" s="124"/>
      <c r="E319" s="125">
        <v>27000</v>
      </c>
    </row>
    <row r="320" spans="1:5" ht="19.5" customHeight="1">
      <c r="A320" s="126"/>
      <c r="B320" s="130" t="s">
        <v>1292</v>
      </c>
      <c r="C320" s="124" t="s">
        <v>595</v>
      </c>
      <c r="D320" s="124"/>
      <c r="E320" s="125">
        <v>27600</v>
      </c>
    </row>
    <row r="321" spans="1:5" ht="30">
      <c r="A321" s="126"/>
      <c r="B321" s="130" t="s">
        <v>2354</v>
      </c>
      <c r="C321" s="124" t="s">
        <v>595</v>
      </c>
      <c r="D321" s="124"/>
      <c r="E321" s="125">
        <v>33800</v>
      </c>
    </row>
    <row r="322" spans="1:5" ht="30">
      <c r="A322" s="126"/>
      <c r="B322" s="130" t="s">
        <v>2355</v>
      </c>
      <c r="C322" s="124" t="s">
        <v>595</v>
      </c>
      <c r="D322" s="124"/>
      <c r="E322" s="125">
        <v>33000</v>
      </c>
    </row>
    <row r="323" spans="1:5" ht="30">
      <c r="A323" s="126"/>
      <c r="B323" s="130" t="s">
        <v>2356</v>
      </c>
      <c r="C323" s="124" t="s">
        <v>595</v>
      </c>
      <c r="D323" s="124"/>
      <c r="E323" s="125">
        <v>33600</v>
      </c>
    </row>
    <row r="324" spans="1:5" ht="30">
      <c r="A324" s="126"/>
      <c r="B324" s="130" t="s">
        <v>2358</v>
      </c>
      <c r="C324" s="124" t="s">
        <v>595</v>
      </c>
      <c r="D324" s="124"/>
      <c r="E324" s="125">
        <v>32800</v>
      </c>
    </row>
    <row r="325" spans="1:5" ht="30">
      <c r="A325" s="126"/>
      <c r="B325" s="130" t="s">
        <v>2357</v>
      </c>
      <c r="C325" s="124" t="s">
        <v>595</v>
      </c>
      <c r="D325" s="124"/>
      <c r="E325" s="125">
        <v>32800</v>
      </c>
    </row>
    <row r="326" spans="1:5" ht="30">
      <c r="A326" s="126"/>
      <c r="B326" s="130" t="s">
        <v>1293</v>
      </c>
      <c r="C326" s="124" t="s">
        <v>595</v>
      </c>
      <c r="D326" s="124"/>
      <c r="E326" s="125">
        <v>33200</v>
      </c>
    </row>
    <row r="327" spans="1:5" ht="30">
      <c r="A327" s="126"/>
      <c r="B327" s="130" t="s">
        <v>1294</v>
      </c>
      <c r="C327" s="124" t="s">
        <v>595</v>
      </c>
      <c r="D327" s="124"/>
      <c r="E327" s="125">
        <v>33800</v>
      </c>
    </row>
    <row r="328" spans="1:5" ht="30">
      <c r="A328" s="126"/>
      <c r="B328" s="130" t="s">
        <v>2359</v>
      </c>
      <c r="C328" s="124" t="s">
        <v>595</v>
      </c>
      <c r="D328" s="124"/>
      <c r="E328" s="125">
        <v>27900</v>
      </c>
    </row>
    <row r="329" spans="1:5" ht="15">
      <c r="A329" s="424" t="s">
        <v>1704</v>
      </c>
      <c r="B329" s="424"/>
      <c r="C329" s="424"/>
      <c r="D329" s="424"/>
      <c r="E329" s="424"/>
    </row>
    <row r="330" spans="1:5" ht="15">
      <c r="A330" s="131" t="s">
        <v>1273</v>
      </c>
      <c r="B330" s="123" t="s">
        <v>800</v>
      </c>
      <c r="C330" s="124"/>
      <c r="D330" s="280"/>
      <c r="E330" s="140"/>
    </row>
    <row r="331" spans="1:5" ht="15">
      <c r="A331" s="126"/>
      <c r="B331" s="138" t="s">
        <v>965</v>
      </c>
      <c r="C331" s="124"/>
      <c r="D331" s="124"/>
      <c r="E331" s="140"/>
    </row>
    <row r="332" spans="1:5" ht="15">
      <c r="A332" s="126" t="s">
        <v>380</v>
      </c>
      <c r="B332" s="127" t="s">
        <v>954</v>
      </c>
      <c r="C332" s="124"/>
      <c r="D332" s="124" t="s">
        <v>2360</v>
      </c>
      <c r="E332" s="140"/>
    </row>
    <row r="333" spans="1:5" ht="15">
      <c r="A333" s="126"/>
      <c r="B333" s="136" t="s">
        <v>963</v>
      </c>
      <c r="C333" s="124" t="s">
        <v>368</v>
      </c>
      <c r="D333" s="124"/>
      <c r="E333" s="125">
        <v>1000</v>
      </c>
    </row>
    <row r="334" spans="1:5" ht="15">
      <c r="A334" s="126"/>
      <c r="B334" s="136" t="s">
        <v>955</v>
      </c>
      <c r="C334" s="124" t="s">
        <v>368</v>
      </c>
      <c r="D334" s="124"/>
      <c r="E334" s="125">
        <v>4800</v>
      </c>
    </row>
    <row r="335" spans="1:5" ht="15">
      <c r="A335" s="126"/>
      <c r="B335" s="136" t="s">
        <v>956</v>
      </c>
      <c r="C335" s="124" t="s">
        <v>368</v>
      </c>
      <c r="D335" s="124"/>
      <c r="E335" s="125">
        <v>5000</v>
      </c>
    </row>
    <row r="336" spans="1:5" ht="15">
      <c r="A336" s="131" t="s">
        <v>1274</v>
      </c>
      <c r="B336" s="123" t="s">
        <v>1275</v>
      </c>
      <c r="C336" s="124"/>
      <c r="D336" s="124"/>
      <c r="E336" s="140"/>
    </row>
    <row r="337" spans="1:5" ht="15">
      <c r="A337" s="139"/>
      <c r="B337" s="138" t="s">
        <v>1277</v>
      </c>
      <c r="C337" s="141"/>
      <c r="D337" s="141"/>
      <c r="E337" s="142"/>
    </row>
    <row r="338" spans="1:5" ht="15">
      <c r="A338" s="126" t="s">
        <v>380</v>
      </c>
      <c r="B338" s="123" t="s">
        <v>1276</v>
      </c>
      <c r="C338" s="124"/>
      <c r="D338" s="124"/>
      <c r="E338" s="140"/>
    </row>
    <row r="339" spans="1:5" ht="15">
      <c r="A339" s="126"/>
      <c r="B339" s="136" t="s">
        <v>820</v>
      </c>
      <c r="C339" s="124" t="s">
        <v>484</v>
      </c>
      <c r="D339" s="124"/>
      <c r="E339" s="137">
        <v>818182</v>
      </c>
    </row>
    <row r="340" spans="1:5" ht="15">
      <c r="A340" s="126"/>
      <c r="B340" s="136" t="s">
        <v>821</v>
      </c>
      <c r="C340" s="124" t="s">
        <v>484</v>
      </c>
      <c r="D340" s="124"/>
      <c r="E340" s="137">
        <v>863636</v>
      </c>
    </row>
    <row r="341" spans="1:5" ht="15">
      <c r="A341" s="126"/>
      <c r="B341" s="136" t="s">
        <v>822</v>
      </c>
      <c r="C341" s="124" t="s">
        <v>484</v>
      </c>
      <c r="D341" s="124"/>
      <c r="E341" s="137">
        <v>954545</v>
      </c>
    </row>
    <row r="342" spans="1:5" ht="15">
      <c r="A342" s="126"/>
      <c r="B342" s="136" t="s">
        <v>823</v>
      </c>
      <c r="C342" s="124" t="s">
        <v>484</v>
      </c>
      <c r="D342" s="124"/>
      <c r="E342" s="137">
        <v>1000000</v>
      </c>
    </row>
    <row r="343" spans="1:5" ht="15">
      <c r="A343" s="126" t="s">
        <v>380</v>
      </c>
      <c r="B343" s="123" t="s">
        <v>1465</v>
      </c>
      <c r="C343" s="124"/>
      <c r="D343" s="124"/>
      <c r="E343" s="137"/>
    </row>
    <row r="344" spans="1:5" ht="15">
      <c r="A344" s="126"/>
      <c r="B344" s="136" t="s">
        <v>1467</v>
      </c>
      <c r="C344" s="124" t="s">
        <v>1466</v>
      </c>
      <c r="D344" s="124"/>
      <c r="E344" s="137">
        <v>981</v>
      </c>
    </row>
    <row r="345" spans="1:5" s="281" customFormat="1" ht="15">
      <c r="A345" s="131" t="s">
        <v>1278</v>
      </c>
      <c r="B345" s="123" t="s">
        <v>163</v>
      </c>
      <c r="C345" s="143"/>
      <c r="D345" s="143"/>
      <c r="E345" s="144"/>
    </row>
    <row r="346" spans="1:5" ht="15">
      <c r="A346" s="131" t="s">
        <v>380</v>
      </c>
      <c r="B346" s="145" t="s">
        <v>188</v>
      </c>
      <c r="C346" s="143"/>
      <c r="D346" s="124" t="s">
        <v>2362</v>
      </c>
      <c r="E346" s="144"/>
    </row>
    <row r="347" spans="1:5" ht="15">
      <c r="A347" s="126"/>
      <c r="B347" s="130" t="s">
        <v>824</v>
      </c>
      <c r="C347" s="124" t="s">
        <v>484</v>
      </c>
      <c r="D347" s="124"/>
      <c r="E347" s="140">
        <v>863636.3636363635</v>
      </c>
    </row>
    <row r="348" spans="1:5" ht="15">
      <c r="A348" s="126"/>
      <c r="B348" s="130" t="s">
        <v>820</v>
      </c>
      <c r="C348" s="124" t="s">
        <v>484</v>
      </c>
      <c r="D348" s="124"/>
      <c r="E348" s="140">
        <v>909090.9090909091</v>
      </c>
    </row>
    <row r="349" spans="1:5" ht="15">
      <c r="A349" s="126"/>
      <c r="B349" s="130" t="s">
        <v>821</v>
      </c>
      <c r="C349" s="124" t="s">
        <v>484</v>
      </c>
      <c r="D349" s="124"/>
      <c r="E349" s="140">
        <v>954545.4545454545</v>
      </c>
    </row>
    <row r="350" spans="1:5" ht="15">
      <c r="A350" s="126"/>
      <c r="B350" s="130" t="s">
        <v>822</v>
      </c>
      <c r="C350" s="124" t="s">
        <v>484</v>
      </c>
      <c r="D350" s="124"/>
      <c r="E350" s="140">
        <v>999999.9999999999</v>
      </c>
    </row>
    <row r="351" spans="1:5" s="282" customFormat="1" ht="15.75">
      <c r="A351" s="126"/>
      <c r="B351" s="130" t="s">
        <v>823</v>
      </c>
      <c r="C351" s="124" t="s">
        <v>484</v>
      </c>
      <c r="D351" s="124"/>
      <c r="E351" s="140">
        <v>1045454.5454545454</v>
      </c>
    </row>
    <row r="352" spans="1:5" s="282" customFormat="1" ht="15.75">
      <c r="A352" s="126"/>
      <c r="B352" s="130" t="s">
        <v>825</v>
      </c>
      <c r="C352" s="124" t="s">
        <v>484</v>
      </c>
      <c r="D352" s="124"/>
      <c r="E352" s="140">
        <v>1090909.0909090908</v>
      </c>
    </row>
    <row r="353" spans="1:5" ht="15">
      <c r="A353" s="131" t="s">
        <v>380</v>
      </c>
      <c r="B353" s="145" t="s">
        <v>189</v>
      </c>
      <c r="C353" s="143"/>
      <c r="D353" s="124" t="s">
        <v>2362</v>
      </c>
      <c r="E353" s="144"/>
    </row>
    <row r="354" spans="1:5" ht="15">
      <c r="A354" s="126"/>
      <c r="B354" s="130" t="s">
        <v>824</v>
      </c>
      <c r="C354" s="124" t="s">
        <v>484</v>
      </c>
      <c r="D354" s="124"/>
      <c r="E354" s="137">
        <v>818181.8181818181</v>
      </c>
    </row>
    <row r="355" spans="1:5" ht="15">
      <c r="A355" s="126"/>
      <c r="B355" s="130" t="s">
        <v>820</v>
      </c>
      <c r="C355" s="124" t="s">
        <v>484</v>
      </c>
      <c r="D355" s="124"/>
      <c r="E355" s="137">
        <v>863636.3636363635</v>
      </c>
    </row>
    <row r="356" spans="1:5" ht="15">
      <c r="A356" s="126"/>
      <c r="B356" s="130" t="s">
        <v>821</v>
      </c>
      <c r="C356" s="124" t="s">
        <v>484</v>
      </c>
      <c r="D356" s="124"/>
      <c r="E356" s="137">
        <v>909090.9090909091</v>
      </c>
    </row>
    <row r="357" spans="1:5" ht="15" customHeight="1">
      <c r="A357" s="126"/>
      <c r="B357" s="130" t="s">
        <v>822</v>
      </c>
      <c r="C357" s="124" t="s">
        <v>484</v>
      </c>
      <c r="D357" s="124"/>
      <c r="E357" s="137">
        <v>954545.4545454545</v>
      </c>
    </row>
    <row r="358" spans="1:5" ht="15">
      <c r="A358" s="126"/>
      <c r="B358" s="130" t="s">
        <v>823</v>
      </c>
      <c r="C358" s="124" t="s">
        <v>484</v>
      </c>
      <c r="D358" s="124"/>
      <c r="E358" s="137">
        <v>999999.9999999999</v>
      </c>
    </row>
    <row r="359" spans="1:5" s="282" customFormat="1" ht="15.75">
      <c r="A359" s="126"/>
      <c r="B359" s="130" t="s">
        <v>825</v>
      </c>
      <c r="C359" s="124" t="s">
        <v>484</v>
      </c>
      <c r="D359" s="124"/>
      <c r="E359" s="137">
        <v>1045454.5454545454</v>
      </c>
    </row>
    <row r="360" spans="1:5" ht="15">
      <c r="A360" s="139"/>
      <c r="B360" s="138" t="s">
        <v>1279</v>
      </c>
      <c r="C360" s="141"/>
      <c r="D360" s="141"/>
      <c r="E360" s="142"/>
    </row>
    <row r="361" spans="1:5" ht="15">
      <c r="A361" s="126" t="s">
        <v>380</v>
      </c>
      <c r="B361" s="123" t="s">
        <v>2361</v>
      </c>
      <c r="C361" s="124"/>
      <c r="D361" s="310" t="s">
        <v>2350</v>
      </c>
      <c r="E361" s="137"/>
    </row>
    <row r="362" spans="1:5" s="281" customFormat="1" ht="15">
      <c r="A362" s="126"/>
      <c r="B362" s="136" t="s">
        <v>933</v>
      </c>
      <c r="C362" s="124" t="s">
        <v>379</v>
      </c>
      <c r="D362" s="283"/>
      <c r="E362" s="137">
        <v>239999.99999999997</v>
      </c>
    </row>
    <row r="363" spans="1:5" s="282" customFormat="1" ht="15.75">
      <c r="A363" s="126"/>
      <c r="B363" s="136" t="s">
        <v>934</v>
      </c>
      <c r="C363" s="124" t="s">
        <v>379</v>
      </c>
      <c r="D363" s="124"/>
      <c r="E363" s="137">
        <v>320909.0909090909</v>
      </c>
    </row>
    <row r="364" spans="1:5" ht="15">
      <c r="A364" s="126"/>
      <c r="B364" s="136" t="s">
        <v>935</v>
      </c>
      <c r="C364" s="124" t="s">
        <v>379</v>
      </c>
      <c r="D364" s="124"/>
      <c r="E364" s="137">
        <v>672727.2727272727</v>
      </c>
    </row>
    <row r="365" spans="1:5" ht="15">
      <c r="A365" s="126"/>
      <c r="B365" s="136" t="s">
        <v>1984</v>
      </c>
      <c r="C365" s="124" t="s">
        <v>379</v>
      </c>
      <c r="D365" s="124"/>
      <c r="E365" s="137">
        <v>1272727.2727272727</v>
      </c>
    </row>
    <row r="366" spans="1:5" ht="15">
      <c r="A366" s="126"/>
      <c r="B366" s="136" t="s">
        <v>1985</v>
      </c>
      <c r="C366" s="124" t="s">
        <v>379</v>
      </c>
      <c r="D366" s="124"/>
      <c r="E366" s="137">
        <v>2129090.9090909087</v>
      </c>
    </row>
    <row r="367" spans="1:5" ht="15">
      <c r="A367" s="126"/>
      <c r="B367" s="136" t="s">
        <v>1986</v>
      </c>
      <c r="C367" s="124" t="s">
        <v>379</v>
      </c>
      <c r="D367" s="124"/>
      <c r="E367" s="137">
        <v>2727272.727272727</v>
      </c>
    </row>
    <row r="368" spans="1:5" ht="15">
      <c r="A368" s="126"/>
      <c r="B368" s="136" t="s">
        <v>936</v>
      </c>
      <c r="C368" s="124" t="s">
        <v>379</v>
      </c>
      <c r="D368" s="124"/>
      <c r="E368" s="137">
        <v>3334545.454545454</v>
      </c>
    </row>
    <row r="369" spans="1:5" ht="15">
      <c r="A369" s="126"/>
      <c r="B369" s="136" t="s">
        <v>1987</v>
      </c>
      <c r="C369" s="124" t="s">
        <v>379</v>
      </c>
      <c r="D369" s="124"/>
      <c r="E369" s="137">
        <v>4669090.909090909</v>
      </c>
    </row>
    <row r="370" spans="1:5" ht="15">
      <c r="A370" s="126"/>
      <c r="B370" s="136" t="s">
        <v>937</v>
      </c>
      <c r="C370" s="124" t="s">
        <v>379</v>
      </c>
      <c r="D370" s="124"/>
      <c r="E370" s="137">
        <v>3645454.545454545</v>
      </c>
    </row>
    <row r="371" spans="1:5" ht="15">
      <c r="A371" s="126"/>
      <c r="B371" s="136" t="s">
        <v>1988</v>
      </c>
      <c r="C371" s="124" t="s">
        <v>379</v>
      </c>
      <c r="D371" s="124"/>
      <c r="E371" s="137">
        <v>4801818.181818182</v>
      </c>
    </row>
    <row r="372" spans="1:5" ht="15">
      <c r="A372" s="126"/>
      <c r="B372" s="136" t="s">
        <v>1989</v>
      </c>
      <c r="C372" s="124" t="s">
        <v>379</v>
      </c>
      <c r="D372" s="124"/>
      <c r="E372" s="137">
        <v>6621818.181818182</v>
      </c>
    </row>
    <row r="373" spans="1:5" ht="15">
      <c r="A373" s="126"/>
      <c r="B373" s="136" t="s">
        <v>1990</v>
      </c>
      <c r="C373" s="124" t="s">
        <v>379</v>
      </c>
      <c r="D373" s="124"/>
      <c r="E373" s="137">
        <v>5496363.636363636</v>
      </c>
    </row>
    <row r="374" spans="1:5" ht="15">
      <c r="A374" s="126"/>
      <c r="B374" s="136" t="s">
        <v>938</v>
      </c>
      <c r="C374" s="124" t="s">
        <v>379</v>
      </c>
      <c r="D374" s="124"/>
      <c r="E374" s="137">
        <v>7682727.2727272725</v>
      </c>
    </row>
    <row r="375" spans="1:5" ht="15">
      <c r="A375" s="126"/>
      <c r="B375" s="136" t="s">
        <v>1991</v>
      </c>
      <c r="C375" s="124" t="s">
        <v>379</v>
      </c>
      <c r="D375" s="124"/>
      <c r="E375" s="137">
        <v>11940909.09090909</v>
      </c>
    </row>
    <row r="376" spans="1:5" ht="15">
      <c r="A376" s="131" t="s">
        <v>1280</v>
      </c>
      <c r="B376" s="123" t="s">
        <v>162</v>
      </c>
      <c r="C376" s="143"/>
      <c r="D376" s="143"/>
      <c r="E376" s="144"/>
    </row>
    <row r="377" spans="1:5" ht="15">
      <c r="A377" s="126"/>
      <c r="B377" s="138" t="s">
        <v>962</v>
      </c>
      <c r="C377" s="124"/>
      <c r="D377" s="124"/>
      <c r="E377" s="140"/>
    </row>
    <row r="378" spans="1:5" ht="15">
      <c r="A378" s="126"/>
      <c r="B378" s="136" t="s">
        <v>964</v>
      </c>
      <c r="C378" s="124" t="s">
        <v>484</v>
      </c>
      <c r="D378" s="124" t="s">
        <v>2363</v>
      </c>
      <c r="E378" s="137">
        <v>195000</v>
      </c>
    </row>
    <row r="379" spans="1:5" ht="15">
      <c r="A379" s="126"/>
      <c r="B379" s="136" t="s">
        <v>1065</v>
      </c>
      <c r="C379" s="124" t="s">
        <v>484</v>
      </c>
      <c r="D379" s="124"/>
      <c r="E379" s="125">
        <f>274000/1.1</f>
        <v>249090.90909090906</v>
      </c>
    </row>
    <row r="380" spans="1:5" ht="15">
      <c r="A380" s="126"/>
      <c r="B380" s="136" t="s">
        <v>1066</v>
      </c>
      <c r="C380" s="124" t="s">
        <v>484</v>
      </c>
      <c r="D380" s="124"/>
      <c r="E380" s="125">
        <f>225000/1.1</f>
        <v>204545.45454545453</v>
      </c>
    </row>
    <row r="381" spans="1:5" ht="15">
      <c r="A381" s="146" t="s">
        <v>380</v>
      </c>
      <c r="B381" s="127" t="s">
        <v>958</v>
      </c>
      <c r="C381" s="124"/>
      <c r="D381" s="124" t="s">
        <v>2360</v>
      </c>
      <c r="E381" s="125"/>
    </row>
    <row r="382" spans="1:5" ht="15">
      <c r="A382" s="146"/>
      <c r="B382" s="136" t="s">
        <v>959</v>
      </c>
      <c r="C382" s="124" t="s">
        <v>368</v>
      </c>
      <c r="D382" s="124"/>
      <c r="E382" s="125">
        <v>1150</v>
      </c>
    </row>
    <row r="383" spans="1:5" ht="15">
      <c r="A383" s="146"/>
      <c r="B383" s="136" t="s">
        <v>961</v>
      </c>
      <c r="C383" s="124" t="s">
        <v>368</v>
      </c>
      <c r="D383" s="124"/>
      <c r="E383" s="125">
        <v>4500</v>
      </c>
    </row>
    <row r="384" spans="1:5" s="282" customFormat="1" ht="15.75">
      <c r="A384" s="146"/>
      <c r="B384" s="136" t="s">
        <v>960</v>
      </c>
      <c r="C384" s="124" t="s">
        <v>368</v>
      </c>
      <c r="D384" s="124"/>
      <c r="E384" s="125">
        <v>5200</v>
      </c>
    </row>
    <row r="385" spans="1:5" ht="15" hidden="1">
      <c r="A385" s="131" t="s">
        <v>380</v>
      </c>
      <c r="B385" s="123" t="s">
        <v>1064</v>
      </c>
      <c r="C385" s="143"/>
      <c r="D385" s="143"/>
      <c r="E385" s="147"/>
    </row>
    <row r="386" spans="1:5" ht="15.75" hidden="1">
      <c r="A386" s="146"/>
      <c r="B386" s="136" t="s">
        <v>1067</v>
      </c>
      <c r="C386" s="124" t="s">
        <v>484</v>
      </c>
      <c r="D386" s="124"/>
      <c r="E386" s="125">
        <f>274000/1.1</f>
        <v>249090.90909090906</v>
      </c>
    </row>
    <row r="387" spans="1:5" ht="15">
      <c r="A387" s="131" t="s">
        <v>1281</v>
      </c>
      <c r="B387" s="123" t="s">
        <v>5</v>
      </c>
      <c r="C387" s="143"/>
      <c r="D387" s="143"/>
      <c r="E387" s="144"/>
    </row>
    <row r="388" spans="1:5" ht="15">
      <c r="A388" s="146" t="s">
        <v>380</v>
      </c>
      <c r="B388" s="133" t="s">
        <v>1992</v>
      </c>
      <c r="C388" s="124"/>
      <c r="D388" s="124" t="s">
        <v>2360</v>
      </c>
      <c r="E388" s="137"/>
    </row>
    <row r="389" spans="1:5" s="284" customFormat="1" ht="15.75">
      <c r="A389" s="146"/>
      <c r="B389" s="136" t="s">
        <v>2842</v>
      </c>
      <c r="C389" s="124" t="s">
        <v>368</v>
      </c>
      <c r="D389" s="124"/>
      <c r="E389" s="137">
        <v>1180</v>
      </c>
    </row>
    <row r="390" spans="1:5" ht="15">
      <c r="A390" s="146"/>
      <c r="B390" s="136" t="s">
        <v>2843</v>
      </c>
      <c r="C390" s="124" t="s">
        <v>368</v>
      </c>
      <c r="D390" s="124"/>
      <c r="E390" s="137">
        <v>1200</v>
      </c>
    </row>
    <row r="391" spans="1:5" ht="15">
      <c r="A391" s="146"/>
      <c r="B391" s="136" t="s">
        <v>2841</v>
      </c>
      <c r="C391" s="124" t="s">
        <v>368</v>
      </c>
      <c r="D391" s="124"/>
      <c r="E391" s="137">
        <v>5550</v>
      </c>
    </row>
    <row r="392" spans="1:5" ht="15">
      <c r="A392" s="131" t="s">
        <v>1282</v>
      </c>
      <c r="B392" s="123" t="s">
        <v>7</v>
      </c>
      <c r="C392" s="143"/>
      <c r="D392" s="143"/>
      <c r="E392" s="144"/>
    </row>
    <row r="393" spans="1:5" s="282" customFormat="1" ht="15.75">
      <c r="A393" s="146"/>
      <c r="B393" s="133" t="s">
        <v>1993</v>
      </c>
      <c r="C393" s="124"/>
      <c r="D393" s="124" t="s">
        <v>2360</v>
      </c>
      <c r="E393" s="137"/>
    </row>
    <row r="394" spans="1:5" ht="15">
      <c r="A394" s="146"/>
      <c r="B394" s="136" t="s">
        <v>966</v>
      </c>
      <c r="C394" s="124" t="s">
        <v>368</v>
      </c>
      <c r="D394" s="124"/>
      <c r="E394" s="137">
        <v>1150</v>
      </c>
    </row>
    <row r="395" spans="1:5" ht="15">
      <c r="A395" s="146"/>
      <c r="B395" s="136" t="s">
        <v>967</v>
      </c>
      <c r="C395" s="124" t="s">
        <v>368</v>
      </c>
      <c r="D395" s="124"/>
      <c r="E395" s="137">
        <v>1150</v>
      </c>
    </row>
    <row r="396" spans="1:5" ht="15.75" hidden="1">
      <c r="A396" s="146"/>
      <c r="B396" s="138" t="s">
        <v>53</v>
      </c>
      <c r="C396" s="124" t="s">
        <v>368</v>
      </c>
      <c r="D396" s="124"/>
      <c r="E396" s="137"/>
    </row>
    <row r="397" spans="1:5" ht="15">
      <c r="A397" s="131" t="s">
        <v>1283</v>
      </c>
      <c r="B397" s="123" t="s">
        <v>939</v>
      </c>
      <c r="C397" s="143"/>
      <c r="D397" s="143"/>
      <c r="E397" s="144"/>
    </row>
    <row r="398" spans="1:5" s="282" customFormat="1" ht="15.75">
      <c r="A398" s="146" t="s">
        <v>380</v>
      </c>
      <c r="B398" s="133" t="s">
        <v>2364</v>
      </c>
      <c r="C398" s="124"/>
      <c r="D398" s="124" t="s">
        <v>2360</v>
      </c>
      <c r="E398" s="137"/>
    </row>
    <row r="399" spans="1:5" ht="15">
      <c r="A399" s="146"/>
      <c r="B399" s="136" t="s">
        <v>957</v>
      </c>
      <c r="C399" s="124" t="s">
        <v>368</v>
      </c>
      <c r="D399" s="124"/>
      <c r="E399" s="137">
        <v>1150</v>
      </c>
    </row>
    <row r="400" spans="1:5" ht="15">
      <c r="A400" s="131" t="s">
        <v>1959</v>
      </c>
      <c r="B400" s="123" t="s">
        <v>47</v>
      </c>
      <c r="C400" s="143"/>
      <c r="D400" s="143"/>
      <c r="E400" s="144"/>
    </row>
    <row r="401" spans="1:5" ht="15">
      <c r="A401" s="148"/>
      <c r="B401" s="149" t="s">
        <v>1285</v>
      </c>
      <c r="C401" s="150"/>
      <c r="D401" s="124" t="s">
        <v>2362</v>
      </c>
      <c r="E401" s="151"/>
    </row>
    <row r="402" spans="1:5" ht="15">
      <c r="A402" s="148"/>
      <c r="B402" s="152" t="s">
        <v>1050</v>
      </c>
      <c r="C402" s="150" t="s">
        <v>484</v>
      </c>
      <c r="D402" s="150"/>
      <c r="E402" s="151">
        <v>768000</v>
      </c>
    </row>
    <row r="403" spans="1:5" ht="15">
      <c r="A403" s="148"/>
      <c r="B403" s="152" t="s">
        <v>1051</v>
      </c>
      <c r="C403" s="150" t="s">
        <v>484</v>
      </c>
      <c r="D403" s="150"/>
      <c r="E403" s="151">
        <v>811000</v>
      </c>
    </row>
    <row r="404" spans="1:5" ht="15">
      <c r="A404" s="148"/>
      <c r="B404" s="152" t="s">
        <v>1052</v>
      </c>
      <c r="C404" s="150" t="s">
        <v>484</v>
      </c>
      <c r="D404" s="150"/>
      <c r="E404" s="151">
        <v>858400</v>
      </c>
    </row>
    <row r="405" spans="1:5" ht="15">
      <c r="A405" s="148"/>
      <c r="B405" s="152" t="s">
        <v>1053</v>
      </c>
      <c r="C405" s="150" t="s">
        <v>484</v>
      </c>
      <c r="D405" s="150"/>
      <c r="E405" s="151">
        <v>915000</v>
      </c>
    </row>
    <row r="406" spans="1:5" s="282" customFormat="1" ht="15.75">
      <c r="A406" s="148"/>
      <c r="B406" s="152" t="s">
        <v>1054</v>
      </c>
      <c r="C406" s="150" t="s">
        <v>484</v>
      </c>
      <c r="D406" s="150"/>
      <c r="E406" s="151">
        <v>962800</v>
      </c>
    </row>
    <row r="407" spans="1:5" ht="15">
      <c r="A407" s="148"/>
      <c r="B407" s="152" t="s">
        <v>1055</v>
      </c>
      <c r="C407" s="150" t="s">
        <v>484</v>
      </c>
      <c r="D407" s="150"/>
      <c r="E407" s="151">
        <v>1011200</v>
      </c>
    </row>
    <row r="408" spans="1:5" ht="15">
      <c r="A408" s="153" t="s">
        <v>1284</v>
      </c>
      <c r="B408" s="154" t="s">
        <v>1358</v>
      </c>
      <c r="C408" s="150"/>
      <c r="D408" s="150"/>
      <c r="E408" s="151"/>
    </row>
    <row r="409" spans="1:5" ht="15">
      <c r="A409" s="155" t="s">
        <v>380</v>
      </c>
      <c r="B409" s="149" t="s">
        <v>1359</v>
      </c>
      <c r="C409" s="150"/>
      <c r="D409" s="124" t="s">
        <v>2360</v>
      </c>
      <c r="E409" s="151"/>
    </row>
    <row r="410" spans="1:5" ht="15">
      <c r="A410" s="155"/>
      <c r="B410" s="152" t="s">
        <v>1362</v>
      </c>
      <c r="C410" s="150" t="s">
        <v>368</v>
      </c>
      <c r="D410" s="150"/>
      <c r="E410" s="151">
        <v>1150</v>
      </c>
    </row>
    <row r="411" spans="1:5" ht="15">
      <c r="A411" s="155"/>
      <c r="B411" s="152" t="s">
        <v>1360</v>
      </c>
      <c r="C411" s="150" t="s">
        <v>368</v>
      </c>
      <c r="D411" s="150"/>
      <c r="E411" s="151">
        <v>1101</v>
      </c>
    </row>
    <row r="412" spans="1:5" ht="15">
      <c r="A412" s="155"/>
      <c r="B412" s="152" t="s">
        <v>1361</v>
      </c>
      <c r="C412" s="150" t="s">
        <v>368</v>
      </c>
      <c r="D412" s="150"/>
      <c r="E412" s="151">
        <v>1045</v>
      </c>
    </row>
    <row r="413" spans="1:5" ht="15">
      <c r="A413" s="153" t="s">
        <v>2813</v>
      </c>
      <c r="B413" s="154" t="s">
        <v>3203</v>
      </c>
      <c r="C413" s="150"/>
      <c r="D413" s="150"/>
      <c r="E413" s="151"/>
    </row>
    <row r="414" spans="1:5" ht="15">
      <c r="A414" s="153"/>
      <c r="B414" s="156" t="s">
        <v>3204</v>
      </c>
      <c r="C414" s="150"/>
      <c r="D414" s="150"/>
      <c r="E414" s="151"/>
    </row>
    <row r="415" spans="1:5" ht="15">
      <c r="A415" s="155" t="s">
        <v>380</v>
      </c>
      <c r="B415" s="156" t="s">
        <v>3205</v>
      </c>
      <c r="C415" s="150"/>
      <c r="D415" s="150" t="s">
        <v>2712</v>
      </c>
      <c r="E415" s="151"/>
    </row>
    <row r="416" spans="1:5" ht="15">
      <c r="A416" s="155"/>
      <c r="B416" s="152" t="s">
        <v>1705</v>
      </c>
      <c r="C416" s="150" t="s">
        <v>595</v>
      </c>
      <c r="D416" s="150"/>
      <c r="E416" s="151">
        <v>1407</v>
      </c>
    </row>
    <row r="417" spans="1:5" ht="15">
      <c r="A417" s="155"/>
      <c r="B417" s="152" t="s">
        <v>1706</v>
      </c>
      <c r="C417" s="150" t="s">
        <v>595</v>
      </c>
      <c r="D417" s="150"/>
      <c r="E417" s="151">
        <v>1500</v>
      </c>
    </row>
    <row r="418" spans="1:5" ht="15">
      <c r="A418" s="155" t="s">
        <v>380</v>
      </c>
      <c r="B418" s="156" t="s">
        <v>3206</v>
      </c>
      <c r="C418" s="150"/>
      <c r="D418" s="150" t="s">
        <v>2712</v>
      </c>
      <c r="E418" s="151"/>
    </row>
    <row r="419" spans="1:5" ht="15">
      <c r="A419" s="155"/>
      <c r="B419" s="152" t="s">
        <v>1705</v>
      </c>
      <c r="C419" s="150" t="s">
        <v>595</v>
      </c>
      <c r="D419" s="150"/>
      <c r="E419" s="151">
        <v>1407</v>
      </c>
    </row>
    <row r="420" spans="1:5" ht="15">
      <c r="A420" s="155"/>
      <c r="B420" s="152" t="s">
        <v>1706</v>
      </c>
      <c r="C420" s="150" t="s">
        <v>595</v>
      </c>
      <c r="D420" s="150"/>
      <c r="E420" s="151">
        <v>1500</v>
      </c>
    </row>
    <row r="421" spans="1:5" ht="15">
      <c r="A421" s="153" t="s">
        <v>1364</v>
      </c>
      <c r="B421" s="154" t="s">
        <v>1718</v>
      </c>
      <c r="C421" s="150"/>
      <c r="D421" s="150"/>
      <c r="E421" s="151"/>
    </row>
    <row r="422" spans="1:5" ht="15">
      <c r="A422" s="155" t="s">
        <v>380</v>
      </c>
      <c r="B422" s="156" t="s">
        <v>1719</v>
      </c>
      <c r="C422" s="150"/>
      <c r="D422" s="150" t="s">
        <v>2365</v>
      </c>
      <c r="E422" s="151"/>
    </row>
    <row r="423" spans="1:5" ht="15">
      <c r="A423" s="155"/>
      <c r="B423" s="152" t="s">
        <v>1705</v>
      </c>
      <c r="C423" s="150" t="s">
        <v>595</v>
      </c>
      <c r="D423" s="150"/>
      <c r="E423" s="151">
        <v>1540</v>
      </c>
    </row>
    <row r="424" spans="1:5" ht="15">
      <c r="A424" s="155"/>
      <c r="B424" s="152" t="s">
        <v>1706</v>
      </c>
      <c r="C424" s="150" t="s">
        <v>595</v>
      </c>
      <c r="D424" s="150"/>
      <c r="E424" s="151">
        <v>1600</v>
      </c>
    </row>
    <row r="425" spans="1:5" ht="15">
      <c r="A425" s="153" t="s">
        <v>3207</v>
      </c>
      <c r="B425" s="152" t="s">
        <v>2801</v>
      </c>
      <c r="C425" s="150"/>
      <c r="D425" s="150"/>
      <c r="E425" s="151"/>
    </row>
    <row r="426" spans="1:5" ht="15">
      <c r="A426" s="155"/>
      <c r="B426" s="152" t="s">
        <v>2802</v>
      </c>
      <c r="C426" s="150" t="s">
        <v>368</v>
      </c>
      <c r="D426" s="124" t="s">
        <v>2360</v>
      </c>
      <c r="E426" s="151">
        <v>1051</v>
      </c>
    </row>
    <row r="427" spans="1:5" ht="15">
      <c r="A427" s="155"/>
      <c r="B427" s="152" t="s">
        <v>2803</v>
      </c>
      <c r="C427" s="150" t="s">
        <v>368</v>
      </c>
      <c r="D427" s="124" t="s">
        <v>2360</v>
      </c>
      <c r="E427" s="151">
        <v>1107</v>
      </c>
    </row>
    <row r="428" spans="1:5" ht="15">
      <c r="A428" s="424" t="s">
        <v>1248</v>
      </c>
      <c r="B428" s="424"/>
      <c r="C428" s="424"/>
      <c r="D428" s="424"/>
      <c r="E428" s="424"/>
    </row>
    <row r="429" spans="1:5" ht="15">
      <c r="A429" s="131" t="s">
        <v>1056</v>
      </c>
      <c r="B429" s="136" t="s">
        <v>1960</v>
      </c>
      <c r="C429" s="143"/>
      <c r="D429" s="143"/>
      <c r="E429" s="144"/>
    </row>
    <row r="430" spans="1:5" ht="15">
      <c r="A430" s="131"/>
      <c r="B430" s="138" t="s">
        <v>2370</v>
      </c>
      <c r="C430" s="143"/>
      <c r="D430" s="143"/>
      <c r="E430" s="144"/>
    </row>
    <row r="431" spans="1:5" ht="15">
      <c r="A431" s="146"/>
      <c r="B431" s="157" t="s">
        <v>2369</v>
      </c>
      <c r="C431" s="150" t="s">
        <v>2367</v>
      </c>
      <c r="D431" s="421" t="s">
        <v>2366</v>
      </c>
      <c r="E431" s="137">
        <v>3700000</v>
      </c>
    </row>
    <row r="432" spans="1:5" ht="15">
      <c r="A432" s="146"/>
      <c r="B432" s="157" t="s">
        <v>2368</v>
      </c>
      <c r="C432" s="150" t="s">
        <v>2367</v>
      </c>
      <c r="D432" s="421"/>
      <c r="E432" s="137">
        <v>2880000</v>
      </c>
    </row>
    <row r="433" spans="1:5" ht="15">
      <c r="A433" s="146"/>
      <c r="B433" s="425" t="s">
        <v>2669</v>
      </c>
      <c r="C433" s="426"/>
      <c r="D433" s="426"/>
      <c r="E433" s="427"/>
    </row>
    <row r="434" spans="1:5" ht="15">
      <c r="A434" s="131" t="s">
        <v>1317</v>
      </c>
      <c r="B434" s="123" t="s">
        <v>162</v>
      </c>
      <c r="C434" s="124"/>
      <c r="D434" s="124"/>
      <c r="E434" s="137"/>
    </row>
    <row r="435" spans="1:5" ht="15" customHeight="1">
      <c r="A435" s="146"/>
      <c r="B435" s="133" t="s">
        <v>50</v>
      </c>
      <c r="C435" s="124"/>
      <c r="D435" s="124"/>
      <c r="E435" s="137"/>
    </row>
    <row r="436" spans="1:5" ht="15">
      <c r="A436" s="146" t="s">
        <v>380</v>
      </c>
      <c r="B436" s="123" t="s">
        <v>46</v>
      </c>
      <c r="C436" s="124"/>
      <c r="D436" s="124" t="s">
        <v>2371</v>
      </c>
      <c r="E436" s="137"/>
    </row>
    <row r="437" spans="1:5" ht="15">
      <c r="A437" s="146"/>
      <c r="B437" s="136" t="s">
        <v>42</v>
      </c>
      <c r="C437" s="124" t="s">
        <v>484</v>
      </c>
      <c r="D437" s="124"/>
      <c r="E437" s="137">
        <v>153000</v>
      </c>
    </row>
    <row r="438" spans="1:5" ht="16.5" customHeight="1">
      <c r="A438" s="146"/>
      <c r="B438" s="136" t="s">
        <v>43</v>
      </c>
      <c r="C438" s="124" t="s">
        <v>484</v>
      </c>
      <c r="D438" s="124"/>
      <c r="E438" s="137">
        <v>153000</v>
      </c>
    </row>
    <row r="439" spans="1:5" ht="18" customHeight="1">
      <c r="A439" s="146"/>
      <c r="B439" s="136" t="s">
        <v>44</v>
      </c>
      <c r="C439" s="124" t="s">
        <v>484</v>
      </c>
      <c r="D439" s="124"/>
      <c r="E439" s="137">
        <v>153000</v>
      </c>
    </row>
    <row r="440" spans="1:5" ht="18" customHeight="1">
      <c r="A440" s="146"/>
      <c r="B440" s="136" t="s">
        <v>697</v>
      </c>
      <c r="C440" s="124" t="s">
        <v>282</v>
      </c>
      <c r="D440" s="124"/>
      <c r="E440" s="137">
        <v>153000</v>
      </c>
    </row>
    <row r="441" spans="1:5" ht="15">
      <c r="A441" s="146"/>
      <c r="B441" s="136" t="s">
        <v>45</v>
      </c>
      <c r="C441" s="124" t="s">
        <v>282</v>
      </c>
      <c r="D441" s="124"/>
      <c r="E441" s="137">
        <v>153000</v>
      </c>
    </row>
    <row r="442" spans="1:5" ht="15">
      <c r="A442" s="146" t="s">
        <v>52</v>
      </c>
      <c r="B442" s="133" t="s">
        <v>51</v>
      </c>
      <c r="C442" s="124"/>
      <c r="D442" s="124"/>
      <c r="E442" s="137"/>
    </row>
    <row r="443" spans="1:5" ht="15">
      <c r="A443" s="146"/>
      <c r="B443" s="123" t="s">
        <v>46</v>
      </c>
      <c r="C443" s="124"/>
      <c r="D443" s="124"/>
      <c r="E443" s="137"/>
    </row>
    <row r="444" spans="1:5" ht="15">
      <c r="A444" s="146"/>
      <c r="B444" s="136" t="s">
        <v>42</v>
      </c>
      <c r="C444" s="124" t="s">
        <v>484</v>
      </c>
      <c r="D444" s="124"/>
      <c r="E444" s="137">
        <v>165000</v>
      </c>
    </row>
    <row r="445" spans="1:5" s="282" customFormat="1" ht="15.75">
      <c r="A445" s="146"/>
      <c r="B445" s="136" t="s">
        <v>43</v>
      </c>
      <c r="C445" s="124" t="s">
        <v>282</v>
      </c>
      <c r="D445" s="124"/>
      <c r="E445" s="137">
        <v>165000</v>
      </c>
    </row>
    <row r="446" spans="1:5" ht="15">
      <c r="A446" s="146"/>
      <c r="B446" s="136" t="s">
        <v>44</v>
      </c>
      <c r="C446" s="124" t="s">
        <v>282</v>
      </c>
      <c r="D446" s="124"/>
      <c r="E446" s="137">
        <v>165000</v>
      </c>
    </row>
    <row r="447" spans="1:5" ht="15.75" hidden="1">
      <c r="A447" s="146"/>
      <c r="B447" s="136" t="s">
        <v>697</v>
      </c>
      <c r="C447" s="124" t="s">
        <v>282</v>
      </c>
      <c r="D447" s="124"/>
      <c r="E447" s="137">
        <v>165000</v>
      </c>
    </row>
    <row r="448" spans="1:5" ht="15.75" hidden="1">
      <c r="A448" s="146"/>
      <c r="B448" s="136" t="s">
        <v>45</v>
      </c>
      <c r="C448" s="124" t="s">
        <v>282</v>
      </c>
      <c r="D448" s="124"/>
      <c r="E448" s="137">
        <v>165000</v>
      </c>
    </row>
    <row r="449" spans="1:5" ht="15.75" hidden="1">
      <c r="A449" s="146"/>
      <c r="B449" s="123" t="s">
        <v>704</v>
      </c>
      <c r="C449" s="124"/>
      <c r="D449" s="124"/>
      <c r="E449" s="137"/>
    </row>
    <row r="450" spans="1:5" ht="15.75" hidden="1">
      <c r="A450" s="146"/>
      <c r="B450" s="136" t="s">
        <v>42</v>
      </c>
      <c r="C450" s="124" t="s">
        <v>484</v>
      </c>
      <c r="D450" s="124"/>
      <c r="E450" s="137">
        <v>238000</v>
      </c>
    </row>
    <row r="451" spans="1:5" ht="15.75" hidden="1">
      <c r="A451" s="146"/>
      <c r="B451" s="136" t="s">
        <v>43</v>
      </c>
      <c r="C451" s="124" t="s">
        <v>282</v>
      </c>
      <c r="D451" s="124"/>
      <c r="E451" s="137">
        <v>238000</v>
      </c>
    </row>
    <row r="452" spans="1:5" ht="15.75" hidden="1">
      <c r="A452" s="146"/>
      <c r="B452" s="136" t="s">
        <v>44</v>
      </c>
      <c r="C452" s="124" t="s">
        <v>282</v>
      </c>
      <c r="D452" s="124"/>
      <c r="E452" s="137">
        <v>238000</v>
      </c>
    </row>
    <row r="453" spans="1:5" ht="15.75" hidden="1">
      <c r="A453" s="146"/>
      <c r="B453" s="136" t="s">
        <v>697</v>
      </c>
      <c r="C453" s="124" t="s">
        <v>282</v>
      </c>
      <c r="D453" s="124"/>
      <c r="E453" s="137">
        <v>238000</v>
      </c>
    </row>
    <row r="454" spans="1:5" ht="15.75" hidden="1">
      <c r="A454" s="146"/>
      <c r="B454" s="136" t="s">
        <v>45</v>
      </c>
      <c r="C454" s="124" t="s">
        <v>282</v>
      </c>
      <c r="D454" s="124"/>
      <c r="E454" s="137">
        <v>238000</v>
      </c>
    </row>
    <row r="455" spans="1:5" ht="15.75" hidden="1">
      <c r="A455" s="146"/>
      <c r="B455" s="158" t="s">
        <v>49</v>
      </c>
      <c r="C455" s="124"/>
      <c r="D455" s="124"/>
      <c r="E455" s="137"/>
    </row>
    <row r="456" spans="1:5" ht="15.75" hidden="1">
      <c r="A456" s="146"/>
      <c r="B456" s="138" t="s">
        <v>1961</v>
      </c>
      <c r="C456" s="124"/>
      <c r="D456" s="124"/>
      <c r="E456" s="137">
        <v>2090000</v>
      </c>
    </row>
    <row r="457" spans="1:5" ht="15.75" hidden="1">
      <c r="A457" s="131" t="s">
        <v>1317</v>
      </c>
      <c r="B457" s="123" t="s">
        <v>47</v>
      </c>
      <c r="C457" s="124"/>
      <c r="D457" s="124"/>
      <c r="E457" s="137"/>
    </row>
    <row r="458" spans="1:5" ht="15.75" hidden="1">
      <c r="A458" s="146"/>
      <c r="B458" s="138" t="s">
        <v>1318</v>
      </c>
      <c r="C458" s="124"/>
      <c r="D458" s="124"/>
      <c r="E458" s="137"/>
    </row>
    <row r="459" spans="1:5" ht="15.75" hidden="1">
      <c r="A459" s="146" t="s">
        <v>380</v>
      </c>
      <c r="B459" s="123" t="s">
        <v>46</v>
      </c>
      <c r="C459" s="124"/>
      <c r="D459" s="124"/>
      <c r="E459" s="137"/>
    </row>
    <row r="460" spans="1:5" ht="15.75" hidden="1">
      <c r="A460" s="146"/>
      <c r="B460" s="136" t="s">
        <v>42</v>
      </c>
      <c r="C460" s="124" t="s">
        <v>484</v>
      </c>
      <c r="D460" s="124"/>
      <c r="E460" s="137">
        <v>155000</v>
      </c>
    </row>
    <row r="461" spans="1:5" ht="15.75" hidden="1">
      <c r="A461" s="146"/>
      <c r="B461" s="158" t="s">
        <v>49</v>
      </c>
      <c r="C461" s="124"/>
      <c r="D461" s="124"/>
      <c r="E461" s="137"/>
    </row>
    <row r="462" spans="1:5" ht="15.75" hidden="1">
      <c r="A462" s="131">
        <v>4.3</v>
      </c>
      <c r="B462" s="123" t="s">
        <v>48</v>
      </c>
      <c r="C462" s="124"/>
      <c r="D462" s="124"/>
      <c r="E462" s="137"/>
    </row>
    <row r="463" spans="1:5" ht="15.75" hidden="1">
      <c r="A463" s="146"/>
      <c r="B463" s="138" t="s">
        <v>1286</v>
      </c>
      <c r="C463" s="124"/>
      <c r="D463" s="124"/>
      <c r="E463" s="137"/>
    </row>
    <row r="464" spans="1:5" ht="15.75" hidden="1">
      <c r="A464" s="146" t="s">
        <v>380</v>
      </c>
      <c r="B464" s="136" t="s">
        <v>46</v>
      </c>
      <c r="C464" s="124"/>
      <c r="D464" s="124" t="s">
        <v>2371</v>
      </c>
      <c r="E464" s="137"/>
    </row>
    <row r="465" spans="1:5" ht="15.75" hidden="1">
      <c r="A465" s="146"/>
      <c r="B465" s="136" t="s">
        <v>42</v>
      </c>
      <c r="C465" s="124" t="s">
        <v>484</v>
      </c>
      <c r="D465" s="124"/>
      <c r="E465" s="137">
        <v>155000</v>
      </c>
    </row>
    <row r="466" spans="1:5" ht="15.75" hidden="1">
      <c r="A466" s="146"/>
      <c r="B466" s="136" t="s">
        <v>43</v>
      </c>
      <c r="C466" s="124" t="s">
        <v>484</v>
      </c>
      <c r="D466" s="124"/>
      <c r="E466" s="137">
        <v>155000</v>
      </c>
    </row>
    <row r="467" spans="1:5" ht="15.75" hidden="1">
      <c r="A467" s="146"/>
      <c r="B467" s="136" t="s">
        <v>44</v>
      </c>
      <c r="C467" s="124" t="s">
        <v>484</v>
      </c>
      <c r="D467" s="124"/>
      <c r="E467" s="137">
        <v>155000</v>
      </c>
    </row>
    <row r="468" spans="1:5" ht="15.75" hidden="1">
      <c r="A468" s="146"/>
      <c r="B468" s="136" t="s">
        <v>697</v>
      </c>
      <c r="C468" s="124" t="s">
        <v>484</v>
      </c>
      <c r="D468" s="124"/>
      <c r="E468" s="137">
        <v>155000</v>
      </c>
    </row>
    <row r="469" spans="1:5" ht="15">
      <c r="A469" s="146"/>
      <c r="B469" s="136" t="s">
        <v>45</v>
      </c>
      <c r="C469" s="124" t="s">
        <v>484</v>
      </c>
      <c r="D469" s="124"/>
      <c r="E469" s="137">
        <v>155000</v>
      </c>
    </row>
    <row r="470" spans="1:5" ht="15">
      <c r="A470" s="146"/>
      <c r="B470" s="158" t="s">
        <v>49</v>
      </c>
      <c r="C470" s="124"/>
      <c r="D470" s="124"/>
      <c r="E470" s="137"/>
    </row>
    <row r="471" spans="1:5" ht="15">
      <c r="A471" s="452" t="s">
        <v>1249</v>
      </c>
      <c r="B471" s="452"/>
      <c r="C471" s="452"/>
      <c r="D471" s="452"/>
      <c r="E471" s="452"/>
    </row>
    <row r="472" spans="1:5" ht="15">
      <c r="A472" s="131" t="s">
        <v>1250</v>
      </c>
      <c r="B472" s="159" t="s">
        <v>2670</v>
      </c>
      <c r="C472" s="124"/>
      <c r="D472" s="124"/>
      <c r="E472" s="122"/>
    </row>
    <row r="473" spans="1:5" ht="15">
      <c r="A473" s="146"/>
      <c r="B473" s="160" t="s">
        <v>2671</v>
      </c>
      <c r="C473" s="124"/>
      <c r="D473" s="124"/>
      <c r="E473" s="134"/>
    </row>
    <row r="474" spans="1:5" ht="15">
      <c r="A474" s="314"/>
      <c r="B474" s="456" t="s">
        <v>2700</v>
      </c>
      <c r="C474" s="161"/>
      <c r="D474" s="124"/>
      <c r="E474" s="124"/>
    </row>
    <row r="475" spans="1:5" ht="15">
      <c r="A475" s="126"/>
      <c r="B475" s="457"/>
      <c r="C475" s="124"/>
      <c r="D475" s="124"/>
      <c r="E475" s="125"/>
    </row>
    <row r="476" spans="1:5" ht="15">
      <c r="A476" s="126" t="s">
        <v>380</v>
      </c>
      <c r="B476" s="133" t="s">
        <v>2679</v>
      </c>
      <c r="C476" s="124"/>
      <c r="D476" s="124"/>
      <c r="E476" s="125"/>
    </row>
    <row r="477" spans="1:5" ht="15">
      <c r="A477" s="146"/>
      <c r="B477" s="315" t="s">
        <v>2673</v>
      </c>
      <c r="C477" s="124" t="s">
        <v>516</v>
      </c>
      <c r="D477" s="453" t="s">
        <v>2685</v>
      </c>
      <c r="E477" s="134">
        <v>2022101</v>
      </c>
    </row>
    <row r="478" spans="1:5" ht="15">
      <c r="A478" s="146"/>
      <c r="B478" s="315" t="s">
        <v>2672</v>
      </c>
      <c r="C478" s="124" t="s">
        <v>615</v>
      </c>
      <c r="D478" s="454"/>
      <c r="E478" s="134">
        <v>301050</v>
      </c>
    </row>
    <row r="479" spans="1:5" ht="15">
      <c r="A479" s="146"/>
      <c r="B479" s="315" t="s">
        <v>2674</v>
      </c>
      <c r="C479" s="124" t="s">
        <v>516</v>
      </c>
      <c r="D479" s="454"/>
      <c r="E479" s="134">
        <v>2055693</v>
      </c>
    </row>
    <row r="480" spans="1:5" ht="15">
      <c r="A480" s="146"/>
      <c r="B480" s="315" t="s">
        <v>2672</v>
      </c>
      <c r="C480" s="124" t="s">
        <v>615</v>
      </c>
      <c r="D480" s="454"/>
      <c r="E480" s="134">
        <v>432818</v>
      </c>
    </row>
    <row r="481" spans="1:5" ht="20.25" customHeight="1">
      <c r="A481" s="126"/>
      <c r="B481" s="315" t="s">
        <v>2675</v>
      </c>
      <c r="C481" s="124" t="s">
        <v>516</v>
      </c>
      <c r="D481" s="454"/>
      <c r="E481" s="134">
        <v>2085384</v>
      </c>
    </row>
    <row r="482" spans="1:5" ht="15">
      <c r="A482" s="126"/>
      <c r="B482" s="315" t="s">
        <v>2672</v>
      </c>
      <c r="C482" s="124" t="s">
        <v>615</v>
      </c>
      <c r="D482" s="454"/>
      <c r="E482" s="134">
        <v>98057</v>
      </c>
    </row>
    <row r="483" spans="1:5" ht="15">
      <c r="A483" s="146"/>
      <c r="B483" s="315" t="s">
        <v>2676</v>
      </c>
      <c r="C483" s="124" t="s">
        <v>516</v>
      </c>
      <c r="D483" s="454"/>
      <c r="E483" s="134">
        <v>2050165</v>
      </c>
    </row>
    <row r="484" spans="1:5" ht="15">
      <c r="A484" s="126"/>
      <c r="B484" s="315" t="s">
        <v>2672</v>
      </c>
      <c r="C484" s="124" t="s">
        <v>615</v>
      </c>
      <c r="D484" s="454"/>
      <c r="E484" s="134">
        <v>376527</v>
      </c>
    </row>
    <row r="485" spans="1:5" ht="15">
      <c r="A485" s="146"/>
      <c r="B485" s="315" t="s">
        <v>2677</v>
      </c>
      <c r="C485" s="124" t="s">
        <v>516</v>
      </c>
      <c r="D485" s="454"/>
      <c r="E485" s="134">
        <v>2187736</v>
      </c>
    </row>
    <row r="486" spans="1:5" ht="15">
      <c r="A486" s="126"/>
      <c r="B486" s="315" t="s">
        <v>2672</v>
      </c>
      <c r="C486" s="124" t="s">
        <v>615</v>
      </c>
      <c r="D486" s="454"/>
      <c r="E486" s="134">
        <v>1037767</v>
      </c>
    </row>
    <row r="487" spans="1:5" ht="15">
      <c r="A487" s="146"/>
      <c r="B487" s="315" t="s">
        <v>2678</v>
      </c>
      <c r="C487" s="124" t="s">
        <v>516</v>
      </c>
      <c r="D487" s="454"/>
      <c r="E487" s="134">
        <v>2010563</v>
      </c>
    </row>
    <row r="488" spans="1:5" ht="15">
      <c r="A488" s="126"/>
      <c r="B488" s="315" t="s">
        <v>2672</v>
      </c>
      <c r="C488" s="124" t="s">
        <v>615</v>
      </c>
      <c r="D488" s="454"/>
      <c r="E488" s="134">
        <v>138119</v>
      </c>
    </row>
    <row r="489" spans="1:5" ht="18" customHeight="1">
      <c r="A489" s="146" t="s">
        <v>380</v>
      </c>
      <c r="B489" s="169" t="s">
        <v>2686</v>
      </c>
      <c r="C489" s="124"/>
      <c r="D489" s="454"/>
      <c r="E489" s="134"/>
    </row>
    <row r="490" spans="1:5" ht="15.75" customHeight="1">
      <c r="A490" s="126"/>
      <c r="B490" s="315" t="s">
        <v>2680</v>
      </c>
      <c r="C490" s="124" t="s">
        <v>516</v>
      </c>
      <c r="D490" s="454"/>
      <c r="E490" s="134">
        <v>2332443</v>
      </c>
    </row>
    <row r="491" spans="1:5" ht="15">
      <c r="A491" s="126"/>
      <c r="B491" s="315" t="s">
        <v>2672</v>
      </c>
      <c r="C491" s="124" t="s">
        <v>615</v>
      </c>
      <c r="D491" s="454"/>
      <c r="E491" s="134">
        <v>863500</v>
      </c>
    </row>
    <row r="492" spans="1:5" ht="15">
      <c r="A492" s="126"/>
      <c r="B492" s="315" t="s">
        <v>2681</v>
      </c>
      <c r="C492" s="124" t="s">
        <v>516</v>
      </c>
      <c r="D492" s="454"/>
      <c r="E492" s="134">
        <v>2165242</v>
      </c>
    </row>
    <row r="493" spans="1:5" ht="15">
      <c r="A493" s="126"/>
      <c r="B493" s="315" t="s">
        <v>2672</v>
      </c>
      <c r="C493" s="124" t="s">
        <v>615</v>
      </c>
      <c r="D493" s="454"/>
      <c r="E493" s="134">
        <v>863500</v>
      </c>
    </row>
    <row r="494" spans="1:5" ht="15">
      <c r="A494" s="146"/>
      <c r="B494" s="315" t="s">
        <v>2682</v>
      </c>
      <c r="C494" s="124" t="s">
        <v>516</v>
      </c>
      <c r="D494" s="454"/>
      <c r="E494" s="134">
        <v>2008421</v>
      </c>
    </row>
    <row r="495" spans="1:5" ht="15">
      <c r="A495" s="146"/>
      <c r="B495" s="315" t="s">
        <v>2672</v>
      </c>
      <c r="C495" s="124" t="s">
        <v>615</v>
      </c>
      <c r="D495" s="454"/>
      <c r="E495" s="134">
        <v>863500</v>
      </c>
    </row>
    <row r="496" spans="1:5" ht="17.25" customHeight="1">
      <c r="A496" s="126"/>
      <c r="B496" s="315" t="s">
        <v>2683</v>
      </c>
      <c r="C496" s="124" t="s">
        <v>516</v>
      </c>
      <c r="D496" s="454"/>
      <c r="E496" s="134">
        <v>1999347</v>
      </c>
    </row>
    <row r="497" spans="1:5" ht="17.25" customHeight="1">
      <c r="A497" s="126"/>
      <c r="B497" s="315" t="s">
        <v>2672</v>
      </c>
      <c r="C497" s="124" t="s">
        <v>615</v>
      </c>
      <c r="D497" s="454"/>
      <c r="E497" s="134">
        <v>863500</v>
      </c>
    </row>
    <row r="498" spans="1:5" ht="17.25" customHeight="1">
      <c r="A498" s="146"/>
      <c r="B498" s="315" t="s">
        <v>2684</v>
      </c>
      <c r="C498" s="124" t="s">
        <v>516</v>
      </c>
      <c r="D498" s="454"/>
      <c r="E498" s="134">
        <v>1927516</v>
      </c>
    </row>
    <row r="499" spans="1:5" ht="17.25" customHeight="1">
      <c r="A499" s="126"/>
      <c r="B499" s="315" t="s">
        <v>2672</v>
      </c>
      <c r="C499" s="124" t="s">
        <v>615</v>
      </c>
      <c r="D499" s="454"/>
      <c r="E499" s="134">
        <v>863500</v>
      </c>
    </row>
    <row r="500" spans="1:5" ht="17.25" customHeight="1">
      <c r="A500" s="146" t="s">
        <v>380</v>
      </c>
      <c r="B500" s="169" t="s">
        <v>2687</v>
      </c>
      <c r="C500" s="124"/>
      <c r="D500" s="454"/>
      <c r="E500" s="134"/>
    </row>
    <row r="501" spans="1:5" ht="15">
      <c r="A501" s="126"/>
      <c r="B501" s="315" t="s">
        <v>2688</v>
      </c>
      <c r="C501" s="124" t="s">
        <v>516</v>
      </c>
      <c r="D501" s="454"/>
      <c r="E501" s="134">
        <v>2386674</v>
      </c>
    </row>
    <row r="502" spans="1:5" ht="15">
      <c r="A502" s="126"/>
      <c r="B502" s="315" t="s">
        <v>2672</v>
      </c>
      <c r="C502" s="124" t="s">
        <v>615</v>
      </c>
      <c r="D502" s="454"/>
      <c r="E502" s="134">
        <v>1009354</v>
      </c>
    </row>
    <row r="503" spans="1:5" ht="15">
      <c r="A503" s="146"/>
      <c r="B503" s="315" t="s">
        <v>2689</v>
      </c>
      <c r="C503" s="124" t="s">
        <v>516</v>
      </c>
      <c r="D503" s="454"/>
      <c r="E503" s="134">
        <v>2073913</v>
      </c>
    </row>
    <row r="504" spans="1:5" ht="15">
      <c r="A504" s="126"/>
      <c r="B504" s="315" t="s">
        <v>2672</v>
      </c>
      <c r="C504" s="124" t="s">
        <v>615</v>
      </c>
      <c r="D504" s="454"/>
      <c r="E504" s="134">
        <v>1009354</v>
      </c>
    </row>
    <row r="505" spans="1:5" ht="15">
      <c r="A505" s="146"/>
      <c r="B505" s="315" t="s">
        <v>2690</v>
      </c>
      <c r="C505" s="124" t="s">
        <v>516</v>
      </c>
      <c r="D505" s="454"/>
      <c r="E505" s="134">
        <v>2009964</v>
      </c>
    </row>
    <row r="506" spans="1:5" ht="15">
      <c r="A506" s="126"/>
      <c r="B506" s="315" t="s">
        <v>2672</v>
      </c>
      <c r="C506" s="124" t="s">
        <v>615</v>
      </c>
      <c r="D506" s="454"/>
      <c r="E506" s="134">
        <v>1009354</v>
      </c>
    </row>
    <row r="507" spans="1:5" ht="15">
      <c r="A507" s="146"/>
      <c r="B507" s="315" t="s">
        <v>2691</v>
      </c>
      <c r="C507" s="124" t="s">
        <v>516</v>
      </c>
      <c r="D507" s="454"/>
      <c r="E507" s="134">
        <v>1720873</v>
      </c>
    </row>
    <row r="508" spans="1:5" ht="15">
      <c r="A508" s="146"/>
      <c r="B508" s="315" t="s">
        <v>2672</v>
      </c>
      <c r="C508" s="124" t="s">
        <v>615</v>
      </c>
      <c r="D508" s="454"/>
      <c r="E508" s="134">
        <v>1009354</v>
      </c>
    </row>
    <row r="509" spans="1:5" ht="15">
      <c r="A509" s="314"/>
      <c r="B509" s="315" t="s">
        <v>2692</v>
      </c>
      <c r="C509" s="124" t="s">
        <v>516</v>
      </c>
      <c r="D509" s="454"/>
      <c r="E509" s="134">
        <v>1823249</v>
      </c>
    </row>
    <row r="510" spans="1:5" ht="15">
      <c r="A510" s="126"/>
      <c r="B510" s="315" t="s">
        <v>2672</v>
      </c>
      <c r="C510" s="124" t="s">
        <v>615</v>
      </c>
      <c r="D510" s="454"/>
      <c r="E510" s="134">
        <v>1009354</v>
      </c>
    </row>
    <row r="511" spans="1:5" ht="15">
      <c r="A511" s="146"/>
      <c r="B511" s="315" t="s">
        <v>2693</v>
      </c>
      <c r="C511" s="124" t="s">
        <v>516</v>
      </c>
      <c r="D511" s="454"/>
      <c r="E511" s="134">
        <v>1587405</v>
      </c>
    </row>
    <row r="512" spans="1:5" ht="15">
      <c r="A512" s="146"/>
      <c r="B512" s="315" t="s">
        <v>2672</v>
      </c>
      <c r="C512" s="124" t="s">
        <v>615</v>
      </c>
      <c r="D512" s="454"/>
      <c r="E512" s="134">
        <v>1009354</v>
      </c>
    </row>
    <row r="513" spans="1:5" ht="15">
      <c r="A513" s="146"/>
      <c r="B513" s="315" t="s">
        <v>2694</v>
      </c>
      <c r="C513" s="124" t="s">
        <v>516</v>
      </c>
      <c r="D513" s="454"/>
      <c r="E513" s="134">
        <v>2281252</v>
      </c>
    </row>
    <row r="514" spans="1:5" ht="15">
      <c r="A514" s="146"/>
      <c r="B514" s="315" t="s">
        <v>2672</v>
      </c>
      <c r="C514" s="124" t="s">
        <v>615</v>
      </c>
      <c r="D514" s="454"/>
      <c r="E514" s="134">
        <v>471173</v>
      </c>
    </row>
    <row r="515" spans="1:5" ht="15">
      <c r="A515" s="126"/>
      <c r="B515" s="315" t="s">
        <v>2695</v>
      </c>
      <c r="C515" s="124" t="s">
        <v>516</v>
      </c>
      <c r="D515" s="454"/>
      <c r="E515" s="134">
        <v>2045408</v>
      </c>
    </row>
    <row r="516" spans="1:5" ht="15">
      <c r="A516" s="126"/>
      <c r="B516" s="315" t="s">
        <v>2672</v>
      </c>
      <c r="C516" s="124" t="s">
        <v>615</v>
      </c>
      <c r="D516" s="454"/>
      <c r="E516" s="134">
        <v>471173</v>
      </c>
    </row>
    <row r="517" spans="1:5" ht="15">
      <c r="A517" s="146" t="s">
        <v>380</v>
      </c>
      <c r="B517" s="169" t="s">
        <v>2696</v>
      </c>
      <c r="C517" s="124"/>
      <c r="D517" s="454"/>
      <c r="E517" s="134"/>
    </row>
    <row r="518" spans="1:5" ht="15">
      <c r="A518" s="126"/>
      <c r="B518" s="315" t="s">
        <v>2697</v>
      </c>
      <c r="C518" s="124" t="s">
        <v>516</v>
      </c>
      <c r="D518" s="454"/>
      <c r="E518" s="134">
        <v>2768759</v>
      </c>
    </row>
    <row r="519" spans="1:5" ht="15">
      <c r="A519" s="146"/>
      <c r="B519" s="315" t="s">
        <v>2672</v>
      </c>
      <c r="C519" s="124" t="s">
        <v>615</v>
      </c>
      <c r="D519" s="454"/>
      <c r="E519" s="134">
        <v>2036964</v>
      </c>
    </row>
    <row r="520" spans="1:5" ht="15">
      <c r="A520" s="126"/>
      <c r="B520" s="315" t="s">
        <v>2697</v>
      </c>
      <c r="C520" s="124" t="s">
        <v>516</v>
      </c>
      <c r="D520" s="454"/>
      <c r="E520" s="134">
        <v>2386624</v>
      </c>
    </row>
    <row r="521" spans="1:5" ht="15">
      <c r="A521" s="126"/>
      <c r="B521" s="315" t="s">
        <v>2672</v>
      </c>
      <c r="C521" s="124" t="s">
        <v>615</v>
      </c>
      <c r="D521" s="454"/>
      <c r="E521" s="134">
        <v>885719</v>
      </c>
    </row>
    <row r="522" spans="1:5" ht="15">
      <c r="A522" s="146" t="s">
        <v>380</v>
      </c>
      <c r="B522" s="169" t="s">
        <v>2310</v>
      </c>
      <c r="C522" s="124"/>
      <c r="D522" s="454"/>
      <c r="E522" s="134"/>
    </row>
    <row r="523" spans="1:5" ht="15">
      <c r="A523" s="146"/>
      <c r="B523" s="316" t="s">
        <v>2698</v>
      </c>
      <c r="C523" s="124" t="s">
        <v>516</v>
      </c>
      <c r="D523" s="454"/>
      <c r="E523" s="134">
        <v>1516064</v>
      </c>
    </row>
    <row r="524" spans="1:5" ht="15">
      <c r="A524" s="126"/>
      <c r="B524" s="315" t="s">
        <v>2699</v>
      </c>
      <c r="C524" s="124" t="s">
        <v>516</v>
      </c>
      <c r="D524" s="455"/>
      <c r="E524" s="134">
        <v>2105491</v>
      </c>
    </row>
    <row r="525" spans="1:5" ht="15">
      <c r="A525" s="317"/>
      <c r="B525" s="428" t="s">
        <v>2702</v>
      </c>
      <c r="C525" s="429"/>
      <c r="D525" s="429"/>
      <c r="E525" s="430"/>
    </row>
    <row r="526" spans="1:5" ht="15">
      <c r="A526" s="318"/>
      <c r="B526" s="431" t="s">
        <v>2701</v>
      </c>
      <c r="C526" s="432"/>
      <c r="D526" s="432"/>
      <c r="E526" s="433"/>
    </row>
    <row r="527" spans="1:5" ht="15">
      <c r="A527" s="319"/>
      <c r="B527" s="431" t="s">
        <v>2703</v>
      </c>
      <c r="C527" s="432"/>
      <c r="D527" s="432"/>
      <c r="E527" s="433"/>
    </row>
    <row r="528" spans="1:5" ht="15">
      <c r="A528" s="126"/>
      <c r="B528" s="431" t="s">
        <v>2704</v>
      </c>
      <c r="C528" s="432"/>
      <c r="D528" s="432"/>
      <c r="E528" s="433"/>
    </row>
    <row r="529" spans="1:5" ht="15">
      <c r="A529" s="131" t="s">
        <v>1251</v>
      </c>
      <c r="B529" s="164" t="s">
        <v>1316</v>
      </c>
      <c r="C529" s="124"/>
      <c r="D529" s="280"/>
      <c r="E529" s="134"/>
    </row>
    <row r="530" spans="1:5" ht="60">
      <c r="A530" s="131"/>
      <c r="B530" s="309" t="s">
        <v>1304</v>
      </c>
      <c r="C530" s="124"/>
      <c r="D530" s="124"/>
      <c r="E530" s="134"/>
    </row>
    <row r="531" spans="1:5" ht="15">
      <c r="A531" s="131"/>
      <c r="B531" s="309" t="s">
        <v>1305</v>
      </c>
      <c r="C531" s="124"/>
      <c r="D531" s="124"/>
      <c r="E531" s="134"/>
    </row>
    <row r="532" spans="1:5" ht="15">
      <c r="A532" s="131" t="s">
        <v>380</v>
      </c>
      <c r="B532" s="164" t="s">
        <v>1775</v>
      </c>
      <c r="C532" s="124" t="s">
        <v>516</v>
      </c>
      <c r="D532" s="124" t="s">
        <v>2372</v>
      </c>
      <c r="E532" s="134">
        <v>1825000</v>
      </c>
    </row>
    <row r="533" spans="1:5" ht="15">
      <c r="A533" s="131"/>
      <c r="B533" s="165" t="s">
        <v>1776</v>
      </c>
      <c r="C533" s="124"/>
      <c r="D533" s="124"/>
      <c r="E533" s="134"/>
    </row>
    <row r="534" spans="1:5" ht="15">
      <c r="A534" s="126"/>
      <c r="B534" s="165" t="s">
        <v>1777</v>
      </c>
      <c r="C534" s="124"/>
      <c r="D534" s="124"/>
      <c r="E534" s="134"/>
    </row>
    <row r="535" spans="1:5" ht="15">
      <c r="A535" s="126"/>
      <c r="B535" s="165" t="s">
        <v>1778</v>
      </c>
      <c r="C535" s="124"/>
      <c r="D535" s="124"/>
      <c r="E535" s="134"/>
    </row>
    <row r="536" spans="1:5" ht="30">
      <c r="A536" s="126"/>
      <c r="B536" s="165" t="s">
        <v>1779</v>
      </c>
      <c r="C536" s="124"/>
      <c r="D536" s="124"/>
      <c r="E536" s="134"/>
    </row>
    <row r="537" spans="1:5" ht="15">
      <c r="A537" s="126" t="s">
        <v>380</v>
      </c>
      <c r="B537" s="164" t="s">
        <v>1800</v>
      </c>
      <c r="C537" s="124" t="s">
        <v>516</v>
      </c>
      <c r="D537" s="124" t="s">
        <v>2372</v>
      </c>
      <c r="E537" s="134">
        <v>1795000</v>
      </c>
    </row>
    <row r="538" spans="1:5" ht="15">
      <c r="A538" s="126"/>
      <c r="B538" s="165" t="s">
        <v>1776</v>
      </c>
      <c r="C538" s="124"/>
      <c r="D538" s="124"/>
      <c r="E538" s="134"/>
    </row>
    <row r="539" spans="1:5" ht="15">
      <c r="A539" s="126"/>
      <c r="B539" s="165" t="s">
        <v>1777</v>
      </c>
      <c r="C539" s="124"/>
      <c r="D539" s="124"/>
      <c r="E539" s="134"/>
    </row>
    <row r="540" spans="1:5" ht="15">
      <c r="A540" s="126"/>
      <c r="B540" s="165" t="s">
        <v>1778</v>
      </c>
      <c r="C540" s="124"/>
      <c r="D540" s="124"/>
      <c r="E540" s="134"/>
    </row>
    <row r="541" spans="1:5" ht="15">
      <c r="A541" s="126"/>
      <c r="B541" s="165" t="s">
        <v>1780</v>
      </c>
      <c r="C541" s="124"/>
      <c r="D541" s="124" t="s">
        <v>2372</v>
      </c>
      <c r="E541" s="134"/>
    </row>
    <row r="542" spans="1:5" ht="15">
      <c r="A542" s="126" t="s">
        <v>380</v>
      </c>
      <c r="B542" s="164" t="s">
        <v>1801</v>
      </c>
      <c r="C542" s="124"/>
      <c r="D542" s="124"/>
      <c r="E542" s="134">
        <v>1880000</v>
      </c>
    </row>
    <row r="543" spans="1:5" ht="15">
      <c r="A543" s="126"/>
      <c r="B543" s="165" t="s">
        <v>1776</v>
      </c>
      <c r="C543" s="124"/>
      <c r="D543" s="124"/>
      <c r="E543" s="134"/>
    </row>
    <row r="544" spans="1:5" ht="15">
      <c r="A544" s="126"/>
      <c r="B544" s="165" t="s">
        <v>1777</v>
      </c>
      <c r="C544" s="124"/>
      <c r="D544" s="124"/>
      <c r="E544" s="134"/>
    </row>
    <row r="545" spans="1:5" ht="15">
      <c r="A545" s="126"/>
      <c r="B545" s="165" t="s">
        <v>1778</v>
      </c>
      <c r="C545" s="124"/>
      <c r="D545" s="124"/>
      <c r="E545" s="134"/>
    </row>
    <row r="546" spans="1:5" ht="15">
      <c r="A546" s="126"/>
      <c r="B546" s="165" t="s">
        <v>1802</v>
      </c>
      <c r="C546" s="124"/>
      <c r="D546" s="124"/>
      <c r="E546" s="134"/>
    </row>
    <row r="547" spans="1:5" ht="30">
      <c r="A547" s="126"/>
      <c r="B547" s="165" t="s">
        <v>1306</v>
      </c>
      <c r="C547" s="124"/>
      <c r="D547" s="124"/>
      <c r="E547" s="134"/>
    </row>
    <row r="548" spans="1:5" ht="15">
      <c r="A548" s="131" t="s">
        <v>2307</v>
      </c>
      <c r="B548" s="164" t="s">
        <v>2308</v>
      </c>
      <c r="C548" s="124"/>
      <c r="D548" s="124"/>
      <c r="E548" s="134"/>
    </row>
    <row r="549" spans="1:5" ht="30">
      <c r="A549" s="131"/>
      <c r="B549" s="309" t="s">
        <v>2309</v>
      </c>
      <c r="C549" s="124"/>
      <c r="D549" s="124"/>
      <c r="E549" s="134"/>
    </row>
    <row r="550" spans="1:5" ht="15">
      <c r="A550" s="131"/>
      <c r="B550" s="309" t="s">
        <v>2335</v>
      </c>
      <c r="C550" s="124"/>
      <c r="D550" s="124"/>
      <c r="E550" s="134"/>
    </row>
    <row r="551" spans="1:5" ht="75">
      <c r="A551" s="131" t="s">
        <v>380</v>
      </c>
      <c r="B551" s="306" t="s">
        <v>2342</v>
      </c>
      <c r="C551" s="124"/>
      <c r="D551" s="310" t="s">
        <v>2373</v>
      </c>
      <c r="E551" s="134"/>
    </row>
    <row r="552" spans="1:5" ht="15">
      <c r="A552" s="131"/>
      <c r="B552" s="165" t="s">
        <v>2310</v>
      </c>
      <c r="C552" s="124" t="s">
        <v>516</v>
      </c>
      <c r="D552" s="124"/>
      <c r="E552" s="134">
        <v>1650000</v>
      </c>
    </row>
    <row r="553" spans="1:5" ht="15">
      <c r="A553" s="131"/>
      <c r="B553" s="165" t="s">
        <v>2311</v>
      </c>
      <c r="C553" s="124" t="s">
        <v>516</v>
      </c>
      <c r="D553" s="124"/>
      <c r="E553" s="134">
        <v>2900000</v>
      </c>
    </row>
    <row r="554" spans="1:5" ht="15">
      <c r="A554" s="131"/>
      <c r="B554" s="165" t="s">
        <v>2312</v>
      </c>
      <c r="C554" s="124" t="s">
        <v>516</v>
      </c>
      <c r="D554" s="124"/>
      <c r="E554" s="134">
        <v>2900000</v>
      </c>
    </row>
    <row r="555" spans="1:5" ht="21.75" customHeight="1">
      <c r="A555" s="131"/>
      <c r="B555" s="165" t="s">
        <v>2313</v>
      </c>
      <c r="C555" s="124" t="s">
        <v>516</v>
      </c>
      <c r="D555" s="124"/>
      <c r="E555" s="134">
        <v>2300000</v>
      </c>
    </row>
    <row r="556" spans="1:5" ht="18" customHeight="1">
      <c r="A556" s="131"/>
      <c r="B556" s="165" t="s">
        <v>2314</v>
      </c>
      <c r="C556" s="124" t="s">
        <v>516</v>
      </c>
      <c r="D556" s="124"/>
      <c r="E556" s="134">
        <v>3100000</v>
      </c>
    </row>
    <row r="557" spans="1:5" ht="18" customHeight="1">
      <c r="A557" s="131"/>
      <c r="B557" s="165" t="s">
        <v>2315</v>
      </c>
      <c r="C557" s="124" t="s">
        <v>516</v>
      </c>
      <c r="D557" s="124"/>
      <c r="E557" s="134">
        <v>3100000</v>
      </c>
    </row>
    <row r="558" spans="1:5" ht="20.25" customHeight="1">
      <c r="A558" s="131"/>
      <c r="B558" s="165" t="s">
        <v>2316</v>
      </c>
      <c r="C558" s="124" t="s">
        <v>516</v>
      </c>
      <c r="D558" s="124"/>
      <c r="E558" s="134">
        <v>3000000</v>
      </c>
    </row>
    <row r="559" spans="1:5" ht="18" customHeight="1">
      <c r="A559" s="131"/>
      <c r="B559" s="165" t="s">
        <v>2317</v>
      </c>
      <c r="C559" s="124" t="s">
        <v>516</v>
      </c>
      <c r="D559" s="124"/>
      <c r="E559" s="134">
        <v>2300000</v>
      </c>
    </row>
    <row r="560" spans="1:5" ht="18" customHeight="1">
      <c r="A560" s="131"/>
      <c r="B560" s="165" t="s">
        <v>2318</v>
      </c>
      <c r="C560" s="124" t="s">
        <v>516</v>
      </c>
      <c r="D560" s="124"/>
      <c r="E560" s="134">
        <v>2300000</v>
      </c>
    </row>
    <row r="561" spans="1:5" ht="18" customHeight="1">
      <c r="A561" s="131"/>
      <c r="B561" s="165" t="s">
        <v>2319</v>
      </c>
      <c r="C561" s="124" t="s">
        <v>516</v>
      </c>
      <c r="D561" s="124"/>
      <c r="E561" s="134">
        <v>3100000</v>
      </c>
    </row>
    <row r="562" spans="1:5" ht="18" customHeight="1">
      <c r="A562" s="131"/>
      <c r="B562" s="165" t="s">
        <v>2320</v>
      </c>
      <c r="C562" s="124" t="s">
        <v>516</v>
      </c>
      <c r="D562" s="124"/>
      <c r="E562" s="134">
        <v>3100000</v>
      </c>
    </row>
    <row r="563" spans="1:5" ht="18" customHeight="1">
      <c r="A563" s="131"/>
      <c r="B563" s="309" t="s">
        <v>2331</v>
      </c>
      <c r="C563" s="124" t="s">
        <v>516</v>
      </c>
      <c r="D563" s="124"/>
      <c r="E563" s="134">
        <v>100000</v>
      </c>
    </row>
    <row r="564" spans="1:5" ht="18" customHeight="1">
      <c r="A564" s="131"/>
      <c r="B564" s="309" t="s">
        <v>2321</v>
      </c>
      <c r="C564" s="124" t="s">
        <v>516</v>
      </c>
      <c r="D564" s="124"/>
      <c r="E564" s="134">
        <v>300000</v>
      </c>
    </row>
    <row r="565" spans="1:5" ht="18" customHeight="1">
      <c r="A565" s="131"/>
      <c r="B565" s="309" t="s">
        <v>2322</v>
      </c>
      <c r="C565" s="124" t="s">
        <v>516</v>
      </c>
      <c r="D565" s="124"/>
      <c r="E565" s="134">
        <v>200000</v>
      </c>
    </row>
    <row r="566" spans="1:5" ht="18" customHeight="1">
      <c r="A566" s="131"/>
      <c r="B566" s="309" t="s">
        <v>2323</v>
      </c>
      <c r="C566" s="124" t="s">
        <v>516</v>
      </c>
      <c r="D566" s="124"/>
      <c r="E566" s="134">
        <v>100000</v>
      </c>
    </row>
    <row r="567" spans="1:5" ht="18" customHeight="1">
      <c r="A567" s="131" t="s">
        <v>380</v>
      </c>
      <c r="B567" s="306" t="s">
        <v>2343</v>
      </c>
      <c r="C567" s="124"/>
      <c r="D567" s="310" t="s">
        <v>2373</v>
      </c>
      <c r="E567" s="134"/>
    </row>
    <row r="568" spans="1:5" ht="18" customHeight="1">
      <c r="A568" s="131"/>
      <c r="B568" s="165" t="s">
        <v>2310</v>
      </c>
      <c r="C568" s="124" t="s">
        <v>516</v>
      </c>
      <c r="D568" s="124"/>
      <c r="E568" s="134">
        <v>1350000</v>
      </c>
    </row>
    <row r="569" spans="1:5" ht="18" customHeight="1">
      <c r="A569" s="131"/>
      <c r="B569" s="165" t="s">
        <v>2311</v>
      </c>
      <c r="C569" s="124" t="s">
        <v>516</v>
      </c>
      <c r="D569" s="124"/>
      <c r="E569" s="134">
        <v>1800000</v>
      </c>
    </row>
    <row r="570" spans="1:5" ht="18" customHeight="1">
      <c r="A570" s="131"/>
      <c r="B570" s="165" t="s">
        <v>2312</v>
      </c>
      <c r="C570" s="124" t="s">
        <v>516</v>
      </c>
      <c r="D570" s="124"/>
      <c r="E570" s="134">
        <v>1800000</v>
      </c>
    </row>
    <row r="571" spans="1:5" ht="18" customHeight="1">
      <c r="A571" s="131"/>
      <c r="B571" s="165" t="s">
        <v>2313</v>
      </c>
      <c r="C571" s="124" t="s">
        <v>516</v>
      </c>
      <c r="D571" s="124"/>
      <c r="E571" s="134">
        <v>1750000</v>
      </c>
    </row>
    <row r="572" spans="1:5" ht="18" customHeight="1">
      <c r="A572" s="131"/>
      <c r="B572" s="165" t="s">
        <v>2314</v>
      </c>
      <c r="C572" s="124" t="s">
        <v>516</v>
      </c>
      <c r="D572" s="124"/>
      <c r="E572" s="134">
        <v>2000000</v>
      </c>
    </row>
    <row r="573" spans="1:5" ht="18" customHeight="1">
      <c r="A573" s="131"/>
      <c r="B573" s="165" t="s">
        <v>2315</v>
      </c>
      <c r="C573" s="124" t="s">
        <v>516</v>
      </c>
      <c r="D573" s="124"/>
      <c r="E573" s="134">
        <v>2000000</v>
      </c>
    </row>
    <row r="574" spans="1:5" ht="18.75" customHeight="1">
      <c r="A574" s="131"/>
      <c r="B574" s="165" t="s">
        <v>2316</v>
      </c>
      <c r="C574" s="124" t="s">
        <v>516</v>
      </c>
      <c r="D574" s="124"/>
      <c r="E574" s="134">
        <v>2000000</v>
      </c>
    </row>
    <row r="575" spans="1:5" ht="18" customHeight="1">
      <c r="A575" s="131"/>
      <c r="B575" s="165" t="s">
        <v>2317</v>
      </c>
      <c r="C575" s="124" t="s">
        <v>516</v>
      </c>
      <c r="D575" s="124"/>
      <c r="E575" s="134">
        <v>1650000</v>
      </c>
    </row>
    <row r="576" spans="1:5" ht="18" customHeight="1">
      <c r="A576" s="131"/>
      <c r="B576" s="165" t="s">
        <v>2318</v>
      </c>
      <c r="C576" s="124" t="s">
        <v>516</v>
      </c>
      <c r="D576" s="124"/>
      <c r="E576" s="134">
        <v>1550000</v>
      </c>
    </row>
    <row r="577" spans="1:5" ht="18" customHeight="1">
      <c r="A577" s="131"/>
      <c r="B577" s="309" t="s">
        <v>2321</v>
      </c>
      <c r="C577" s="124" t="s">
        <v>516</v>
      </c>
      <c r="D577" s="124"/>
      <c r="E577" s="134">
        <v>200000</v>
      </c>
    </row>
    <row r="578" spans="1:5" ht="18" customHeight="1">
      <c r="A578" s="131"/>
      <c r="B578" s="309" t="s">
        <v>2324</v>
      </c>
      <c r="C578" s="124" t="s">
        <v>516</v>
      </c>
      <c r="D578" s="124"/>
      <c r="E578" s="134">
        <v>100000</v>
      </c>
    </row>
    <row r="579" spans="1:5" ht="18" customHeight="1">
      <c r="A579" s="131"/>
      <c r="B579" s="309" t="s">
        <v>2326</v>
      </c>
      <c r="C579" s="124" t="s">
        <v>516</v>
      </c>
      <c r="D579" s="124"/>
      <c r="E579" s="134">
        <v>50000</v>
      </c>
    </row>
    <row r="580" spans="1:5" ht="15">
      <c r="A580" s="131"/>
      <c r="B580" s="309" t="s">
        <v>2325</v>
      </c>
      <c r="C580" s="124" t="s">
        <v>516</v>
      </c>
      <c r="D580" s="124"/>
      <c r="E580" s="134">
        <v>80000</v>
      </c>
    </row>
    <row r="581" spans="1:5" ht="75">
      <c r="A581" s="131" t="s">
        <v>380</v>
      </c>
      <c r="B581" s="306" t="s">
        <v>2344</v>
      </c>
      <c r="C581" s="124"/>
      <c r="D581" s="310" t="s">
        <v>2373</v>
      </c>
      <c r="E581" s="134"/>
    </row>
    <row r="582" spans="1:5" ht="15">
      <c r="A582" s="131"/>
      <c r="B582" s="165" t="s">
        <v>2327</v>
      </c>
      <c r="C582" s="124" t="s">
        <v>516</v>
      </c>
      <c r="D582" s="124"/>
      <c r="E582" s="134">
        <v>1489000</v>
      </c>
    </row>
    <row r="583" spans="1:5" ht="15">
      <c r="A583" s="131"/>
      <c r="B583" s="165" t="s">
        <v>2311</v>
      </c>
      <c r="C583" s="124" t="s">
        <v>516</v>
      </c>
      <c r="D583" s="124"/>
      <c r="E583" s="134">
        <v>2543000</v>
      </c>
    </row>
    <row r="584" spans="1:5" ht="15">
      <c r="A584" s="131"/>
      <c r="B584" s="165" t="s">
        <v>2312</v>
      </c>
      <c r="C584" s="124" t="s">
        <v>516</v>
      </c>
      <c r="D584" s="124"/>
      <c r="E584" s="134">
        <v>2766000</v>
      </c>
    </row>
    <row r="585" spans="1:5" ht="15">
      <c r="A585" s="131"/>
      <c r="B585" s="165" t="s">
        <v>2313</v>
      </c>
      <c r="C585" s="124" t="s">
        <v>516</v>
      </c>
      <c r="D585" s="124"/>
      <c r="E585" s="134">
        <v>2229000</v>
      </c>
    </row>
    <row r="586" spans="1:5" ht="15">
      <c r="A586" s="131"/>
      <c r="B586" s="165" t="s">
        <v>2314</v>
      </c>
      <c r="C586" s="124" t="s">
        <v>516</v>
      </c>
      <c r="D586" s="124"/>
      <c r="E586" s="134">
        <v>2530000</v>
      </c>
    </row>
    <row r="587" spans="1:5" ht="15">
      <c r="A587" s="131"/>
      <c r="B587" s="165" t="s">
        <v>2315</v>
      </c>
      <c r="C587" s="124" t="s">
        <v>516</v>
      </c>
      <c r="D587" s="124"/>
      <c r="E587" s="134">
        <v>2635000</v>
      </c>
    </row>
    <row r="588" spans="1:5" ht="18.75" customHeight="1">
      <c r="A588" s="131"/>
      <c r="B588" s="165" t="s">
        <v>2316</v>
      </c>
      <c r="C588" s="124" t="s">
        <v>516</v>
      </c>
      <c r="D588" s="124"/>
      <c r="E588" s="134">
        <v>2635000</v>
      </c>
    </row>
    <row r="589" spans="1:5" ht="15">
      <c r="A589" s="131"/>
      <c r="B589" s="165" t="s">
        <v>2317</v>
      </c>
      <c r="C589" s="124" t="s">
        <v>516</v>
      </c>
      <c r="D589" s="124"/>
      <c r="E589" s="134">
        <v>1798000</v>
      </c>
    </row>
    <row r="590" spans="1:5" ht="15">
      <c r="A590" s="131"/>
      <c r="B590" s="165" t="s">
        <v>2318</v>
      </c>
      <c r="C590" s="124" t="s">
        <v>516</v>
      </c>
      <c r="D590" s="124"/>
      <c r="E590" s="134">
        <v>1678000</v>
      </c>
    </row>
    <row r="591" spans="1:5" ht="15">
      <c r="A591" s="131"/>
      <c r="B591" s="165" t="s">
        <v>2328</v>
      </c>
      <c r="C591" s="124" t="s">
        <v>516</v>
      </c>
      <c r="D591" s="124"/>
      <c r="E591" s="134">
        <v>1815000</v>
      </c>
    </row>
    <row r="592" spans="1:5" ht="15">
      <c r="A592" s="131"/>
      <c r="B592" s="165" t="s">
        <v>2329</v>
      </c>
      <c r="C592" s="124" t="s">
        <v>516</v>
      </c>
      <c r="D592" s="124"/>
      <c r="E592" s="134">
        <v>1815000</v>
      </c>
    </row>
    <row r="593" spans="1:5" ht="15">
      <c r="A593" s="131"/>
      <c r="B593" s="309" t="s">
        <v>2330</v>
      </c>
      <c r="C593" s="124" t="s">
        <v>516</v>
      </c>
      <c r="D593" s="124"/>
      <c r="E593" s="134">
        <v>100000</v>
      </c>
    </row>
    <row r="594" spans="1:5" ht="15">
      <c r="A594" s="131"/>
      <c r="B594" s="309" t="s">
        <v>2321</v>
      </c>
      <c r="C594" s="124" t="s">
        <v>516</v>
      </c>
      <c r="D594" s="124"/>
      <c r="E594" s="134">
        <v>300000</v>
      </c>
    </row>
    <row r="595" spans="1:5" ht="15">
      <c r="A595" s="131"/>
      <c r="B595" s="309" t="s">
        <v>2325</v>
      </c>
      <c r="C595" s="124" t="s">
        <v>516</v>
      </c>
      <c r="D595" s="124"/>
      <c r="E595" s="134">
        <v>80000</v>
      </c>
    </row>
    <row r="596" spans="1:5" ht="15">
      <c r="A596" s="131"/>
      <c r="B596" s="309" t="s">
        <v>2323</v>
      </c>
      <c r="C596" s="124" t="s">
        <v>516</v>
      </c>
      <c r="D596" s="124"/>
      <c r="E596" s="134">
        <v>100000</v>
      </c>
    </row>
    <row r="597" spans="1:5" ht="75">
      <c r="A597" s="131" t="s">
        <v>380</v>
      </c>
      <c r="B597" s="306" t="s">
        <v>2345</v>
      </c>
      <c r="C597" s="124"/>
      <c r="D597" s="310" t="s">
        <v>2373</v>
      </c>
      <c r="E597" s="134"/>
    </row>
    <row r="598" spans="1:5" ht="15">
      <c r="A598" s="131"/>
      <c r="B598" s="165" t="s">
        <v>2310</v>
      </c>
      <c r="C598" s="124" t="s">
        <v>516</v>
      </c>
      <c r="D598" s="124"/>
      <c r="E598" s="134">
        <v>1732000</v>
      </c>
    </row>
    <row r="599" spans="1:5" ht="15">
      <c r="A599" s="131"/>
      <c r="B599" s="165" t="s">
        <v>2311</v>
      </c>
      <c r="C599" s="124" t="s">
        <v>516</v>
      </c>
      <c r="D599" s="124"/>
      <c r="E599" s="134">
        <v>1854000</v>
      </c>
    </row>
    <row r="600" spans="1:5" ht="15">
      <c r="A600" s="131"/>
      <c r="B600" s="165" t="s">
        <v>2312</v>
      </c>
      <c r="C600" s="124" t="s">
        <v>516</v>
      </c>
      <c r="D600" s="124"/>
      <c r="E600" s="134">
        <v>1991000</v>
      </c>
    </row>
    <row r="601" spans="1:5" ht="15">
      <c r="A601" s="131"/>
      <c r="B601" s="165" t="s">
        <v>2313</v>
      </c>
      <c r="C601" s="124" t="s">
        <v>516</v>
      </c>
      <c r="D601" s="124"/>
      <c r="E601" s="134">
        <v>2038000</v>
      </c>
    </row>
    <row r="602" spans="1:5" ht="15">
      <c r="A602" s="131"/>
      <c r="B602" s="165" t="s">
        <v>2314</v>
      </c>
      <c r="C602" s="124" t="s">
        <v>516</v>
      </c>
      <c r="D602" s="124"/>
      <c r="E602" s="134">
        <v>1783000</v>
      </c>
    </row>
    <row r="603" spans="1:5" ht="15">
      <c r="A603" s="131"/>
      <c r="B603" s="165" t="s">
        <v>2315</v>
      </c>
      <c r="C603" s="124" t="s">
        <v>516</v>
      </c>
      <c r="D603" s="124"/>
      <c r="E603" s="134">
        <v>1806000</v>
      </c>
    </row>
    <row r="604" spans="1:5" ht="15.75" customHeight="1">
      <c r="A604" s="131"/>
      <c r="B604" s="165" t="s">
        <v>2316</v>
      </c>
      <c r="C604" s="124" t="s">
        <v>516</v>
      </c>
      <c r="D604" s="124"/>
      <c r="E604" s="134">
        <v>1806000</v>
      </c>
    </row>
    <row r="605" spans="1:5" ht="15">
      <c r="A605" s="131"/>
      <c r="B605" s="165" t="s">
        <v>2317</v>
      </c>
      <c r="C605" s="124" t="s">
        <v>516</v>
      </c>
      <c r="D605" s="124"/>
      <c r="E605" s="134">
        <v>2203000</v>
      </c>
    </row>
    <row r="606" spans="1:5" ht="15">
      <c r="A606" s="131"/>
      <c r="B606" s="165" t="s">
        <v>2318</v>
      </c>
      <c r="C606" s="124" t="s">
        <v>516</v>
      </c>
      <c r="D606" s="124"/>
      <c r="E606" s="134">
        <v>2203000</v>
      </c>
    </row>
    <row r="607" spans="1:5" ht="15">
      <c r="A607" s="131"/>
      <c r="B607" s="309" t="s">
        <v>2321</v>
      </c>
      <c r="C607" s="124" t="s">
        <v>516</v>
      </c>
      <c r="D607" s="124"/>
      <c r="E607" s="134">
        <v>300000</v>
      </c>
    </row>
    <row r="608" spans="1:5" ht="15">
      <c r="A608" s="131"/>
      <c r="B608" s="309" t="s">
        <v>2325</v>
      </c>
      <c r="C608" s="124" t="s">
        <v>516</v>
      </c>
      <c r="D608" s="124"/>
      <c r="E608" s="134">
        <v>80000</v>
      </c>
    </row>
    <row r="609" spans="1:5" ht="60">
      <c r="A609" s="131" t="s">
        <v>380</v>
      </c>
      <c r="B609" s="166" t="s">
        <v>2346</v>
      </c>
      <c r="C609" s="124"/>
      <c r="D609" s="310" t="s">
        <v>2373</v>
      </c>
      <c r="E609" s="134"/>
    </row>
    <row r="610" spans="1:5" ht="15">
      <c r="A610" s="131"/>
      <c r="B610" s="165" t="s">
        <v>2332</v>
      </c>
      <c r="C610" s="124" t="s">
        <v>516</v>
      </c>
      <c r="D610" s="124"/>
      <c r="E610" s="134">
        <v>2272000</v>
      </c>
    </row>
    <row r="611" spans="1:5" ht="15">
      <c r="A611" s="131"/>
      <c r="B611" s="165" t="s">
        <v>2333</v>
      </c>
      <c r="C611" s="124" t="s">
        <v>516</v>
      </c>
      <c r="D611" s="124"/>
      <c r="E611" s="134">
        <v>2291000</v>
      </c>
    </row>
    <row r="612" spans="1:5" ht="15">
      <c r="A612" s="131"/>
      <c r="B612" s="165" t="s">
        <v>2334</v>
      </c>
      <c r="C612" s="124" t="s">
        <v>516</v>
      </c>
      <c r="D612" s="124"/>
      <c r="E612" s="134">
        <v>100000</v>
      </c>
    </row>
    <row r="613" spans="1:5" ht="45">
      <c r="A613" s="131" t="s">
        <v>380</v>
      </c>
      <c r="B613" s="306" t="s">
        <v>2347</v>
      </c>
      <c r="C613" s="124"/>
      <c r="D613" s="124"/>
      <c r="E613" s="134"/>
    </row>
    <row r="614" spans="1:5" ht="15">
      <c r="A614" s="131"/>
      <c r="B614" s="165" t="s">
        <v>2336</v>
      </c>
      <c r="C614" s="124" t="s">
        <v>516</v>
      </c>
      <c r="D614" s="124"/>
      <c r="E614" s="134">
        <v>3700000</v>
      </c>
    </row>
    <row r="615" spans="1:5" ht="15">
      <c r="A615" s="131"/>
      <c r="B615" s="165" t="s">
        <v>2337</v>
      </c>
      <c r="C615" s="124" t="s">
        <v>516</v>
      </c>
      <c r="D615" s="124"/>
      <c r="E615" s="134">
        <v>3500000</v>
      </c>
    </row>
    <row r="616" spans="1:5" ht="15.75" customHeight="1">
      <c r="A616" s="131"/>
      <c r="B616" s="165" t="s">
        <v>2338</v>
      </c>
      <c r="C616" s="124" t="s">
        <v>516</v>
      </c>
      <c r="D616" s="124"/>
      <c r="E616" s="134">
        <v>3250000</v>
      </c>
    </row>
    <row r="617" spans="1:5" ht="15">
      <c r="A617" s="131"/>
      <c r="B617" s="309" t="s">
        <v>2339</v>
      </c>
      <c r="C617" s="124" t="s">
        <v>516</v>
      </c>
      <c r="D617" s="124"/>
      <c r="E617" s="134">
        <v>100000</v>
      </c>
    </row>
    <row r="618" spans="1:5" ht="15">
      <c r="A618" s="131"/>
      <c r="B618" s="309" t="s">
        <v>2340</v>
      </c>
      <c r="C618" s="124" t="s">
        <v>516</v>
      </c>
      <c r="D618" s="124"/>
      <c r="E618" s="134">
        <v>150000</v>
      </c>
    </row>
    <row r="619" spans="1:5" ht="15.75" customHeight="1">
      <c r="A619" s="131"/>
      <c r="B619" s="309" t="s">
        <v>2341</v>
      </c>
      <c r="C619" s="124" t="s">
        <v>516</v>
      </c>
      <c r="D619" s="124"/>
      <c r="E619" s="134">
        <v>350000</v>
      </c>
    </row>
    <row r="620" spans="1:5" ht="18" customHeight="1">
      <c r="A620" s="444" t="s">
        <v>1252</v>
      </c>
      <c r="B620" s="444"/>
      <c r="C620" s="444"/>
      <c r="D620" s="444"/>
      <c r="E620" s="444"/>
    </row>
    <row r="621" spans="1:5" ht="15">
      <c r="A621" s="146"/>
      <c r="B621" s="307" t="s">
        <v>613</v>
      </c>
      <c r="C621" s="124"/>
      <c r="D621" s="124"/>
      <c r="E621" s="134"/>
    </row>
    <row r="622" spans="1:5" ht="15">
      <c r="A622" s="131" t="s">
        <v>1253</v>
      </c>
      <c r="B622" s="163" t="s">
        <v>614</v>
      </c>
      <c r="C622" s="124"/>
      <c r="D622" s="124"/>
      <c r="E622" s="125"/>
    </row>
    <row r="623" spans="1:5" ht="15">
      <c r="A623" s="126" t="s">
        <v>380</v>
      </c>
      <c r="B623" s="163" t="s">
        <v>197</v>
      </c>
      <c r="C623" s="124"/>
      <c r="D623" s="124" t="s">
        <v>2595</v>
      </c>
      <c r="E623" s="125"/>
    </row>
    <row r="624" spans="1:5" ht="15">
      <c r="A624" s="126"/>
      <c r="B624" s="162" t="s">
        <v>940</v>
      </c>
      <c r="C624" s="124" t="s">
        <v>198</v>
      </c>
      <c r="D624" s="124"/>
      <c r="E624" s="125">
        <v>89300</v>
      </c>
    </row>
    <row r="625" spans="1:5" ht="15">
      <c r="A625" s="126"/>
      <c r="B625" s="162" t="s">
        <v>941</v>
      </c>
      <c r="C625" s="124" t="s">
        <v>198</v>
      </c>
      <c r="D625" s="124"/>
      <c r="E625" s="125">
        <v>49950</v>
      </c>
    </row>
    <row r="626" spans="1:5" ht="15">
      <c r="A626" s="126"/>
      <c r="B626" s="162" t="s">
        <v>942</v>
      </c>
      <c r="C626" s="124" t="s">
        <v>198</v>
      </c>
      <c r="D626" s="124"/>
      <c r="E626" s="125">
        <v>60250</v>
      </c>
    </row>
    <row r="627" spans="1:5" ht="15">
      <c r="A627" s="126"/>
      <c r="B627" s="162" t="s">
        <v>943</v>
      </c>
      <c r="C627" s="124" t="s">
        <v>198</v>
      </c>
      <c r="D627" s="124"/>
      <c r="E627" s="125">
        <v>130250</v>
      </c>
    </row>
    <row r="628" spans="1:5" ht="15">
      <c r="A628" s="126"/>
      <c r="B628" s="162" t="s">
        <v>944</v>
      </c>
      <c r="C628" s="124" t="s">
        <v>198</v>
      </c>
      <c r="D628" s="124"/>
      <c r="E628" s="125">
        <v>175900</v>
      </c>
    </row>
    <row r="629" spans="1:5" ht="15">
      <c r="A629" s="126"/>
      <c r="B629" s="162" t="s">
        <v>1760</v>
      </c>
      <c r="C629" s="124" t="s">
        <v>595</v>
      </c>
      <c r="D629" s="124"/>
      <c r="E629" s="125">
        <v>92800</v>
      </c>
    </row>
    <row r="630" spans="1:5" ht="15">
      <c r="A630" s="132" t="s">
        <v>380</v>
      </c>
      <c r="B630" s="163" t="s">
        <v>199</v>
      </c>
      <c r="C630" s="161"/>
      <c r="D630" s="124" t="s">
        <v>2595</v>
      </c>
      <c r="E630" s="167"/>
    </row>
    <row r="631" spans="1:5" ht="15">
      <c r="A631" s="126"/>
      <c r="B631" s="162" t="s">
        <v>945</v>
      </c>
      <c r="C631" s="124" t="s">
        <v>595</v>
      </c>
      <c r="D631" s="124"/>
      <c r="E631" s="125">
        <v>146750</v>
      </c>
    </row>
    <row r="632" spans="1:5" ht="15">
      <c r="A632" s="126"/>
      <c r="B632" s="162" t="s">
        <v>946</v>
      </c>
      <c r="C632" s="124" t="s">
        <v>595</v>
      </c>
      <c r="D632" s="124"/>
      <c r="E632" s="125">
        <v>78250</v>
      </c>
    </row>
    <row r="633" spans="1:5" ht="15">
      <c r="A633" s="126"/>
      <c r="B633" s="162" t="s">
        <v>947</v>
      </c>
      <c r="C633" s="124" t="s">
        <v>595</v>
      </c>
      <c r="D633" s="124"/>
      <c r="E633" s="125">
        <v>122750</v>
      </c>
    </row>
    <row r="634" spans="1:5" ht="16.5" customHeight="1">
      <c r="A634" s="126"/>
      <c r="B634" s="162" t="s">
        <v>948</v>
      </c>
      <c r="C634" s="124" t="s">
        <v>595</v>
      </c>
      <c r="D634" s="124"/>
      <c r="E634" s="125">
        <v>239500</v>
      </c>
    </row>
    <row r="635" spans="1:5" ht="30">
      <c r="A635" s="126"/>
      <c r="B635" s="162" t="s">
        <v>949</v>
      </c>
      <c r="C635" s="124" t="s">
        <v>595</v>
      </c>
      <c r="D635" s="124"/>
      <c r="E635" s="125">
        <v>187900</v>
      </c>
    </row>
    <row r="636" spans="1:5" ht="30">
      <c r="A636" s="126"/>
      <c r="B636" s="168" t="s">
        <v>706</v>
      </c>
      <c r="C636" s="124"/>
      <c r="D636" s="124"/>
      <c r="E636" s="125"/>
    </row>
    <row r="637" spans="1:5" ht="18" customHeight="1">
      <c r="A637" s="126"/>
      <c r="B637" s="162" t="s">
        <v>203</v>
      </c>
      <c r="C637" s="124" t="s">
        <v>595</v>
      </c>
      <c r="D637" s="124"/>
      <c r="E637" s="125">
        <v>7000</v>
      </c>
    </row>
    <row r="638" spans="1:5" ht="15">
      <c r="A638" s="126"/>
      <c r="B638" s="162" t="s">
        <v>204</v>
      </c>
      <c r="C638" s="124" t="s">
        <v>595</v>
      </c>
      <c r="D638" s="124"/>
      <c r="E638" s="125">
        <v>8000</v>
      </c>
    </row>
    <row r="639" spans="1:5" ht="15">
      <c r="A639" s="126"/>
      <c r="B639" s="162" t="s">
        <v>205</v>
      </c>
      <c r="C639" s="124" t="s">
        <v>595</v>
      </c>
      <c r="D639" s="124"/>
      <c r="E639" s="125">
        <v>25000</v>
      </c>
    </row>
    <row r="640" spans="1:5" ht="15">
      <c r="A640" s="126"/>
      <c r="B640" s="162" t="s">
        <v>206</v>
      </c>
      <c r="C640" s="124" t="s">
        <v>595</v>
      </c>
      <c r="D640" s="124"/>
      <c r="E640" s="125">
        <v>30000</v>
      </c>
    </row>
    <row r="641" spans="1:5" ht="15">
      <c r="A641" s="126"/>
      <c r="B641" s="162" t="s">
        <v>207</v>
      </c>
      <c r="C641" s="124" t="s">
        <v>595</v>
      </c>
      <c r="D641" s="124"/>
      <c r="E641" s="125">
        <v>37500</v>
      </c>
    </row>
    <row r="642" spans="1:5" ht="15">
      <c r="A642" s="126" t="s">
        <v>380</v>
      </c>
      <c r="B642" s="163" t="s">
        <v>200</v>
      </c>
      <c r="C642" s="124"/>
      <c r="D642" s="124" t="s">
        <v>2595</v>
      </c>
      <c r="E642" s="125"/>
    </row>
    <row r="643" spans="1:5" ht="23.25" customHeight="1">
      <c r="A643" s="126"/>
      <c r="B643" s="162" t="s">
        <v>950</v>
      </c>
      <c r="C643" s="124" t="s">
        <v>595</v>
      </c>
      <c r="D643" s="124"/>
      <c r="E643" s="125">
        <v>17520</v>
      </c>
    </row>
    <row r="644" spans="1:5" ht="15">
      <c r="A644" s="126"/>
      <c r="B644" s="162" t="s">
        <v>951</v>
      </c>
      <c r="C644" s="124" t="s">
        <v>595</v>
      </c>
      <c r="D644" s="124"/>
      <c r="E644" s="125">
        <v>12200</v>
      </c>
    </row>
    <row r="645" spans="1:5" ht="15">
      <c r="A645" s="126"/>
      <c r="B645" s="162" t="s">
        <v>952</v>
      </c>
      <c r="C645" s="124" t="s">
        <v>595</v>
      </c>
      <c r="D645" s="124"/>
      <c r="E645" s="125">
        <v>22000</v>
      </c>
    </row>
    <row r="646" spans="1:5" ht="15">
      <c r="A646" s="126"/>
      <c r="B646" s="162" t="s">
        <v>953</v>
      </c>
      <c r="C646" s="124" t="s">
        <v>595</v>
      </c>
      <c r="D646" s="124"/>
      <c r="E646" s="125">
        <v>14320</v>
      </c>
    </row>
    <row r="647" spans="1:5" ht="19.5" customHeight="1">
      <c r="A647" s="126"/>
      <c r="B647" s="162" t="s">
        <v>1756</v>
      </c>
      <c r="C647" s="124" t="s">
        <v>595</v>
      </c>
      <c r="D647" s="124"/>
      <c r="E647" s="125">
        <v>74240</v>
      </c>
    </row>
    <row r="648" spans="1:5" ht="19.5" customHeight="1">
      <c r="A648" s="126"/>
      <c r="B648" s="162" t="s">
        <v>1757</v>
      </c>
      <c r="C648" s="124" t="s">
        <v>595</v>
      </c>
      <c r="D648" s="124"/>
      <c r="E648" s="125">
        <v>69040</v>
      </c>
    </row>
    <row r="649" spans="1:5" ht="15">
      <c r="A649" s="126"/>
      <c r="B649" s="162" t="s">
        <v>201</v>
      </c>
      <c r="C649" s="124" t="s">
        <v>595</v>
      </c>
      <c r="D649" s="124"/>
      <c r="E649" s="125">
        <v>47800</v>
      </c>
    </row>
    <row r="650" spans="1:5" ht="30">
      <c r="A650" s="126"/>
      <c r="B650" s="162" t="s">
        <v>202</v>
      </c>
      <c r="C650" s="124" t="s">
        <v>595</v>
      </c>
      <c r="D650" s="124"/>
      <c r="E650" s="125">
        <v>59750</v>
      </c>
    </row>
    <row r="651" spans="1:5" ht="15">
      <c r="A651" s="126" t="s">
        <v>380</v>
      </c>
      <c r="B651" s="163" t="s">
        <v>195</v>
      </c>
      <c r="C651" s="124"/>
      <c r="D651" s="124" t="s">
        <v>2595</v>
      </c>
      <c r="E651" s="125"/>
    </row>
    <row r="652" spans="1:5" ht="15">
      <c r="A652" s="126"/>
      <c r="B652" s="130" t="s">
        <v>196</v>
      </c>
      <c r="C652" s="124" t="s">
        <v>595</v>
      </c>
      <c r="D652" s="124"/>
      <c r="E652" s="125">
        <v>49250</v>
      </c>
    </row>
    <row r="653" spans="1:5" ht="18.75" customHeight="1">
      <c r="A653" s="126"/>
      <c r="B653" s="130" t="s">
        <v>1758</v>
      </c>
      <c r="C653" s="124" t="s">
        <v>595</v>
      </c>
      <c r="D653" s="124"/>
      <c r="E653" s="125">
        <v>72400</v>
      </c>
    </row>
    <row r="654" spans="1:5" ht="18.75" customHeight="1">
      <c r="A654" s="126"/>
      <c r="B654" s="130" t="s">
        <v>1759</v>
      </c>
      <c r="C654" s="124" t="s">
        <v>595</v>
      </c>
      <c r="D654" s="124"/>
      <c r="E654" s="125">
        <v>94450</v>
      </c>
    </row>
    <row r="655" spans="1:5" ht="15.75" customHeight="1">
      <c r="A655" s="131" t="s">
        <v>1254</v>
      </c>
      <c r="B655" s="169" t="s">
        <v>605</v>
      </c>
      <c r="C655" s="124"/>
      <c r="D655" s="124" t="s">
        <v>2595</v>
      </c>
      <c r="E655" s="125"/>
    </row>
    <row r="656" spans="1:5" ht="15">
      <c r="A656" s="126"/>
      <c r="B656" s="130" t="s">
        <v>606</v>
      </c>
      <c r="C656" s="124" t="s">
        <v>595</v>
      </c>
      <c r="D656" s="124"/>
      <c r="E656" s="125">
        <f>203636/40</f>
        <v>5090.9</v>
      </c>
    </row>
    <row r="657" spans="1:5" ht="15">
      <c r="A657" s="126"/>
      <c r="B657" s="130" t="s">
        <v>607</v>
      </c>
      <c r="C657" s="124" t="s">
        <v>595</v>
      </c>
      <c r="D657" s="124"/>
      <c r="E657" s="125">
        <f>313636/40</f>
        <v>7840.9</v>
      </c>
    </row>
    <row r="658" spans="1:5" ht="15">
      <c r="A658" s="126"/>
      <c r="B658" s="130" t="s">
        <v>608</v>
      </c>
      <c r="C658" s="124" t="s">
        <v>595</v>
      </c>
      <c r="D658" s="124"/>
      <c r="E658" s="125">
        <f>1168182/22</f>
        <v>53099.181818181816</v>
      </c>
    </row>
    <row r="659" spans="1:5" ht="15">
      <c r="A659" s="126"/>
      <c r="B659" s="130" t="s">
        <v>609</v>
      </c>
      <c r="C659" s="124" t="s">
        <v>595</v>
      </c>
      <c r="D659" s="124"/>
      <c r="E659" s="125">
        <f>1638182/22</f>
        <v>74462.81818181818</v>
      </c>
    </row>
    <row r="660" spans="1:5" ht="15" customHeight="1">
      <c r="A660" s="126"/>
      <c r="B660" s="130" t="s">
        <v>610</v>
      </c>
      <c r="C660" s="124" t="s">
        <v>595</v>
      </c>
      <c r="D660" s="124"/>
      <c r="E660" s="125">
        <f>1032727/22</f>
        <v>46942.13636363636</v>
      </c>
    </row>
    <row r="661" spans="1:5" ht="15">
      <c r="A661" s="126"/>
      <c r="B661" s="130" t="s">
        <v>667</v>
      </c>
      <c r="C661" s="124" t="s">
        <v>595</v>
      </c>
      <c r="D661" s="124"/>
      <c r="E661" s="125">
        <f>533636/23</f>
        <v>23201.565217391304</v>
      </c>
    </row>
    <row r="662" spans="1:5" ht="15">
      <c r="A662" s="126"/>
      <c r="B662" s="130" t="s">
        <v>611</v>
      </c>
      <c r="C662" s="124" t="s">
        <v>595</v>
      </c>
      <c r="D662" s="124"/>
      <c r="E662" s="125">
        <f>1227273/24</f>
        <v>51136.375</v>
      </c>
    </row>
    <row r="663" spans="1:5" ht="15">
      <c r="A663" s="126"/>
      <c r="B663" s="130" t="s">
        <v>612</v>
      </c>
      <c r="C663" s="124" t="s">
        <v>595</v>
      </c>
      <c r="D663" s="124"/>
      <c r="E663" s="125">
        <f>1969091/20</f>
        <v>98454.55</v>
      </c>
    </row>
    <row r="664" spans="1:5" ht="15">
      <c r="A664" s="131" t="s">
        <v>1255</v>
      </c>
      <c r="B664" s="169" t="s">
        <v>666</v>
      </c>
      <c r="C664" s="124"/>
      <c r="D664" s="124" t="s">
        <v>2595</v>
      </c>
      <c r="E664" s="125"/>
    </row>
    <row r="665" spans="1:5" ht="15">
      <c r="A665" s="126"/>
      <c r="B665" s="130" t="s">
        <v>672</v>
      </c>
      <c r="C665" s="124" t="s">
        <v>595</v>
      </c>
      <c r="D665" s="124"/>
      <c r="E665" s="125">
        <v>43652.17391304348</v>
      </c>
    </row>
    <row r="666" spans="1:5" ht="15">
      <c r="A666" s="126"/>
      <c r="B666" s="130" t="s">
        <v>673</v>
      </c>
      <c r="C666" s="124" t="s">
        <v>595</v>
      </c>
      <c r="D666" s="124"/>
      <c r="E666" s="125">
        <v>47652.17391304348</v>
      </c>
    </row>
    <row r="667" spans="1:5" ht="19.5" customHeight="1">
      <c r="A667" s="126"/>
      <c r="B667" s="130" t="s">
        <v>674</v>
      </c>
      <c r="C667" s="124" t="s">
        <v>595</v>
      </c>
      <c r="D667" s="124"/>
      <c r="E667" s="125">
        <v>114250</v>
      </c>
    </row>
    <row r="668" spans="1:5" ht="15">
      <c r="A668" s="126"/>
      <c r="B668" s="130" t="s">
        <v>677</v>
      </c>
      <c r="C668" s="124" t="s">
        <v>595</v>
      </c>
      <c r="D668" s="124"/>
      <c r="E668" s="125">
        <v>118850</v>
      </c>
    </row>
    <row r="669" spans="1:5" ht="15">
      <c r="A669" s="126"/>
      <c r="B669" s="130" t="s">
        <v>675</v>
      </c>
      <c r="C669" s="124" t="s">
        <v>595</v>
      </c>
      <c r="D669" s="124"/>
      <c r="E669" s="125">
        <v>65909.09090909091</v>
      </c>
    </row>
    <row r="670" spans="1:5" ht="15">
      <c r="A670" s="126"/>
      <c r="B670" s="130" t="s">
        <v>676</v>
      </c>
      <c r="C670" s="124" t="s">
        <v>595</v>
      </c>
      <c r="D670" s="124"/>
      <c r="E670" s="125">
        <v>70818.18181818182</v>
      </c>
    </row>
    <row r="671" spans="1:5" ht="15">
      <c r="A671" s="126"/>
      <c r="B671" s="130" t="s">
        <v>678</v>
      </c>
      <c r="C671" s="124" t="s">
        <v>595</v>
      </c>
      <c r="D671" s="124"/>
      <c r="E671" s="125">
        <v>149500</v>
      </c>
    </row>
    <row r="672" spans="1:5" ht="15">
      <c r="A672" s="126"/>
      <c r="B672" s="130" t="s">
        <v>679</v>
      </c>
      <c r="C672" s="124" t="s">
        <v>595</v>
      </c>
      <c r="D672" s="124"/>
      <c r="E672" s="125">
        <v>157150</v>
      </c>
    </row>
    <row r="673" spans="1:5" ht="18" customHeight="1">
      <c r="A673" s="126"/>
      <c r="B673" s="130" t="s">
        <v>638</v>
      </c>
      <c r="C673" s="124" t="s">
        <v>595</v>
      </c>
      <c r="D673" s="124"/>
      <c r="E673" s="125">
        <v>66545.45454545454</v>
      </c>
    </row>
    <row r="674" spans="1:5" ht="15">
      <c r="A674" s="126"/>
      <c r="B674" s="130" t="s">
        <v>680</v>
      </c>
      <c r="C674" s="124" t="s">
        <v>595</v>
      </c>
      <c r="D674" s="124"/>
      <c r="E674" s="125">
        <v>107100</v>
      </c>
    </row>
    <row r="675" spans="1:5" ht="15">
      <c r="A675" s="126"/>
      <c r="B675" s="130" t="s">
        <v>668</v>
      </c>
      <c r="C675" s="124" t="s">
        <v>595</v>
      </c>
      <c r="D675" s="124"/>
      <c r="E675" s="125">
        <v>8625</v>
      </c>
    </row>
    <row r="676" spans="1:5" ht="15">
      <c r="A676" s="126"/>
      <c r="B676" s="130" t="s">
        <v>669</v>
      </c>
      <c r="C676" s="124" t="s">
        <v>595</v>
      </c>
      <c r="D676" s="124"/>
      <c r="E676" s="125">
        <v>10350</v>
      </c>
    </row>
    <row r="677" spans="1:5" ht="15">
      <c r="A677" s="131" t="s">
        <v>1256</v>
      </c>
      <c r="B677" s="169" t="s">
        <v>8</v>
      </c>
      <c r="C677" s="124"/>
      <c r="D677" s="124"/>
      <c r="E677" s="125"/>
    </row>
    <row r="678" spans="1:5" ht="15">
      <c r="A678" s="126" t="s">
        <v>380</v>
      </c>
      <c r="B678" s="127" t="s">
        <v>9</v>
      </c>
      <c r="C678" s="124"/>
      <c r="D678" s="124" t="s">
        <v>2595</v>
      </c>
      <c r="E678" s="125"/>
    </row>
    <row r="679" spans="1:5" ht="15">
      <c r="A679" s="126"/>
      <c r="B679" s="130" t="s">
        <v>10</v>
      </c>
      <c r="C679" s="124" t="s">
        <v>595</v>
      </c>
      <c r="D679" s="124"/>
      <c r="E679" s="125">
        <v>106229</v>
      </c>
    </row>
    <row r="680" spans="1:5" ht="15" customHeight="1">
      <c r="A680" s="126"/>
      <c r="B680" s="130" t="s">
        <v>11</v>
      </c>
      <c r="C680" s="124" t="s">
        <v>595</v>
      </c>
      <c r="D680" s="124"/>
      <c r="E680" s="125">
        <v>90018</v>
      </c>
    </row>
    <row r="681" spans="1:5" ht="15">
      <c r="A681" s="126"/>
      <c r="B681" s="130" t="s">
        <v>13</v>
      </c>
      <c r="C681" s="124" t="s">
        <v>595</v>
      </c>
      <c r="D681" s="124"/>
      <c r="E681" s="125">
        <v>216666.6666666667</v>
      </c>
    </row>
    <row r="682" spans="1:5" ht="16.5" customHeight="1">
      <c r="A682" s="126"/>
      <c r="B682" s="130" t="s">
        <v>14</v>
      </c>
      <c r="C682" s="124" t="s">
        <v>595</v>
      </c>
      <c r="D682" s="124"/>
      <c r="E682" s="125">
        <v>206666.6666666667</v>
      </c>
    </row>
    <row r="683" spans="1:5" ht="15">
      <c r="A683" s="126"/>
      <c r="B683" s="130" t="s">
        <v>12</v>
      </c>
      <c r="C683" s="124" t="s">
        <v>595</v>
      </c>
      <c r="D683" s="124"/>
      <c r="E683" s="125">
        <v>189750.4411764706</v>
      </c>
    </row>
    <row r="684" spans="1:5" ht="15">
      <c r="A684" s="126" t="s">
        <v>380</v>
      </c>
      <c r="B684" s="127" t="s">
        <v>15</v>
      </c>
      <c r="C684" s="124"/>
      <c r="D684" s="124" t="s">
        <v>2595</v>
      </c>
      <c r="E684" s="125"/>
    </row>
    <row r="685" spans="1:5" ht="15">
      <c r="A685" s="126"/>
      <c r="B685" s="130" t="s">
        <v>17</v>
      </c>
      <c r="C685" s="124" t="s">
        <v>595</v>
      </c>
      <c r="D685" s="124"/>
      <c r="E685" s="125">
        <v>31481.481481481485</v>
      </c>
    </row>
    <row r="686" spans="1:5" ht="14.25" customHeight="1">
      <c r="A686" s="126"/>
      <c r="B686" s="130" t="s">
        <v>16</v>
      </c>
      <c r="C686" s="124" t="s">
        <v>595</v>
      </c>
      <c r="D686" s="124"/>
      <c r="E686" s="125">
        <v>30258.480392156867</v>
      </c>
    </row>
    <row r="687" spans="1:5" ht="15">
      <c r="A687" s="126"/>
      <c r="B687" s="130" t="s">
        <v>18</v>
      </c>
      <c r="C687" s="124" t="s">
        <v>595</v>
      </c>
      <c r="D687" s="124"/>
      <c r="E687" s="125">
        <v>54377.03703703704</v>
      </c>
    </row>
    <row r="688" spans="1:5" ht="15">
      <c r="A688" s="126"/>
      <c r="B688" s="130" t="s">
        <v>19</v>
      </c>
      <c r="C688" s="124" t="s">
        <v>595</v>
      </c>
      <c r="D688" s="124"/>
      <c r="E688" s="125">
        <v>42379.6568627451</v>
      </c>
    </row>
    <row r="689" spans="1:5" ht="15">
      <c r="A689" s="126"/>
      <c r="B689" s="130" t="s">
        <v>21</v>
      </c>
      <c r="C689" s="124" t="s">
        <v>595</v>
      </c>
      <c r="D689" s="124"/>
      <c r="E689" s="125">
        <v>214141.4814814815</v>
      </c>
    </row>
    <row r="690" spans="1:5" ht="15">
      <c r="A690" s="126"/>
      <c r="B690" s="130" t="s">
        <v>20</v>
      </c>
      <c r="C690" s="124" t="s">
        <v>595</v>
      </c>
      <c r="D690" s="124"/>
      <c r="E690" s="125">
        <v>178208.57843137256</v>
      </c>
    </row>
    <row r="691" spans="1:5" ht="15">
      <c r="A691" s="126"/>
      <c r="B691" s="130" t="s">
        <v>23</v>
      </c>
      <c r="C691" s="124" t="s">
        <v>595</v>
      </c>
      <c r="D691" s="124"/>
      <c r="E691" s="125">
        <v>181818.14814814815</v>
      </c>
    </row>
    <row r="692" spans="1:5" ht="15">
      <c r="A692" s="126"/>
      <c r="B692" s="130" t="s">
        <v>22</v>
      </c>
      <c r="C692" s="124" t="s">
        <v>595</v>
      </c>
      <c r="D692" s="124"/>
      <c r="E692" s="125">
        <v>155436.71568627452</v>
      </c>
    </row>
    <row r="693" spans="1:5" ht="15">
      <c r="A693" s="126" t="s">
        <v>380</v>
      </c>
      <c r="B693" s="127" t="s">
        <v>24</v>
      </c>
      <c r="C693" s="124"/>
      <c r="D693" s="124" t="s">
        <v>2595</v>
      </c>
      <c r="E693" s="125"/>
    </row>
    <row r="694" spans="1:5" ht="15">
      <c r="A694" s="126"/>
      <c r="B694" s="130" t="s">
        <v>25</v>
      </c>
      <c r="C694" s="124" t="s">
        <v>595</v>
      </c>
      <c r="D694" s="124"/>
      <c r="E694" s="125">
        <v>91750.74074074074</v>
      </c>
    </row>
    <row r="695" spans="1:5" ht="15">
      <c r="A695" s="126"/>
      <c r="B695" s="130" t="s">
        <v>26</v>
      </c>
      <c r="C695" s="124" t="s">
        <v>595</v>
      </c>
      <c r="D695" s="124"/>
      <c r="E695" s="125">
        <v>68939.39814814816</v>
      </c>
    </row>
    <row r="696" spans="1:5" ht="15">
      <c r="A696" s="126"/>
      <c r="B696" s="130" t="s">
        <v>31</v>
      </c>
      <c r="C696" s="124" t="s">
        <v>595</v>
      </c>
      <c r="D696" s="124"/>
      <c r="E696" s="125">
        <v>105723.88888888889</v>
      </c>
    </row>
    <row r="697" spans="1:5" ht="15">
      <c r="A697" s="126"/>
      <c r="B697" s="130" t="s">
        <v>32</v>
      </c>
      <c r="C697" s="124" t="s">
        <v>595</v>
      </c>
      <c r="D697" s="124"/>
      <c r="E697" s="125">
        <v>86658.24074074074</v>
      </c>
    </row>
    <row r="698" spans="1:5" ht="15">
      <c r="A698" s="126"/>
      <c r="B698" s="130" t="s">
        <v>27</v>
      </c>
      <c r="C698" s="124" t="s">
        <v>595</v>
      </c>
      <c r="D698" s="124"/>
      <c r="E698" s="125">
        <v>138888.88888888888</v>
      </c>
    </row>
    <row r="699" spans="1:5" ht="15.75" customHeight="1">
      <c r="A699" s="126"/>
      <c r="B699" s="130" t="s">
        <v>28</v>
      </c>
      <c r="C699" s="124" t="s">
        <v>595</v>
      </c>
      <c r="D699" s="124"/>
      <c r="E699" s="125">
        <v>119953.70370370371</v>
      </c>
    </row>
    <row r="700" spans="1:5" ht="15">
      <c r="A700" s="126"/>
      <c r="B700" s="130" t="s">
        <v>30</v>
      </c>
      <c r="C700" s="124" t="s">
        <v>595</v>
      </c>
      <c r="D700" s="124"/>
      <c r="E700" s="125">
        <v>118686.85185185185</v>
      </c>
    </row>
    <row r="701" spans="1:5" ht="15">
      <c r="A701" s="126"/>
      <c r="B701" s="130" t="s">
        <v>29</v>
      </c>
      <c r="C701" s="124" t="s">
        <v>595</v>
      </c>
      <c r="D701" s="124"/>
      <c r="E701" s="125">
        <v>92803.00925925926</v>
      </c>
    </row>
    <row r="702" spans="1:5" ht="15">
      <c r="A702" s="126" t="s">
        <v>380</v>
      </c>
      <c r="B702" s="127" t="s">
        <v>33</v>
      </c>
      <c r="C702" s="124"/>
      <c r="D702" s="124" t="s">
        <v>2595</v>
      </c>
      <c r="E702" s="125"/>
    </row>
    <row r="703" spans="1:5" ht="18" customHeight="1">
      <c r="A703" s="126"/>
      <c r="B703" s="130" t="s">
        <v>34</v>
      </c>
      <c r="C703" s="124" t="s">
        <v>595</v>
      </c>
      <c r="D703" s="124"/>
      <c r="E703" s="125">
        <v>276515</v>
      </c>
    </row>
    <row r="704" spans="1:5" ht="15">
      <c r="A704" s="126"/>
      <c r="B704" s="130" t="s">
        <v>35</v>
      </c>
      <c r="C704" s="124" t="s">
        <v>595</v>
      </c>
      <c r="D704" s="124"/>
      <c r="E704" s="125">
        <v>252424.1666666667</v>
      </c>
    </row>
    <row r="705" spans="1:5" ht="15">
      <c r="A705" s="126"/>
      <c r="B705" s="130" t="s">
        <v>36</v>
      </c>
      <c r="C705" s="124" t="s">
        <v>595</v>
      </c>
      <c r="D705" s="124"/>
      <c r="E705" s="125">
        <v>150181.8</v>
      </c>
    </row>
    <row r="706" spans="1:5" ht="15">
      <c r="A706" s="126"/>
      <c r="B706" s="130" t="s">
        <v>37</v>
      </c>
      <c r="C706" s="124" t="s">
        <v>595</v>
      </c>
      <c r="D706" s="124"/>
      <c r="E706" s="125">
        <v>143000</v>
      </c>
    </row>
    <row r="707" spans="1:5" ht="15">
      <c r="A707" s="126" t="s">
        <v>380</v>
      </c>
      <c r="B707" s="127" t="s">
        <v>38</v>
      </c>
      <c r="C707" s="124"/>
      <c r="D707" s="124" t="s">
        <v>2595</v>
      </c>
      <c r="E707" s="125"/>
    </row>
    <row r="708" spans="1:5" ht="15">
      <c r="A708" s="126"/>
      <c r="B708" s="130" t="s">
        <v>41</v>
      </c>
      <c r="C708" s="124" t="s">
        <v>595</v>
      </c>
      <c r="D708" s="124"/>
      <c r="E708" s="125">
        <v>9136.375</v>
      </c>
    </row>
    <row r="709" spans="1:5" ht="15">
      <c r="A709" s="126"/>
      <c r="B709" s="130" t="s">
        <v>40</v>
      </c>
      <c r="C709" s="124" t="s">
        <v>595</v>
      </c>
      <c r="D709" s="124"/>
      <c r="E709" s="125">
        <v>10272.725</v>
      </c>
    </row>
    <row r="710" spans="1:5" s="285" customFormat="1" ht="15.75">
      <c r="A710" s="126"/>
      <c r="B710" s="130" t="s">
        <v>39</v>
      </c>
      <c r="C710" s="124" t="s">
        <v>595</v>
      </c>
      <c r="D710" s="124"/>
      <c r="E710" s="125">
        <v>11022.725</v>
      </c>
    </row>
    <row r="711" spans="1:5" ht="15">
      <c r="A711" s="131" t="s">
        <v>1339</v>
      </c>
      <c r="B711" s="127" t="s">
        <v>1345</v>
      </c>
      <c r="C711" s="124"/>
      <c r="D711" s="124"/>
      <c r="E711" s="125"/>
    </row>
    <row r="712" spans="1:5" ht="15">
      <c r="A712" s="131" t="s">
        <v>380</v>
      </c>
      <c r="B712" s="127" t="s">
        <v>1340</v>
      </c>
      <c r="C712" s="124"/>
      <c r="D712" s="124" t="s">
        <v>2595</v>
      </c>
      <c r="E712" s="125"/>
    </row>
    <row r="713" spans="1:5" ht="15">
      <c r="A713" s="131"/>
      <c r="B713" s="130" t="s">
        <v>1343</v>
      </c>
      <c r="C713" s="124" t="s">
        <v>595</v>
      </c>
      <c r="D713" s="124"/>
      <c r="E713" s="125">
        <v>79040</v>
      </c>
    </row>
    <row r="714" spans="1:5" ht="20.25" customHeight="1">
      <c r="A714" s="131"/>
      <c r="B714" s="130" t="s">
        <v>1342</v>
      </c>
      <c r="C714" s="124" t="s">
        <v>595</v>
      </c>
      <c r="D714" s="124"/>
      <c r="E714" s="125">
        <v>109095</v>
      </c>
    </row>
    <row r="715" spans="1:5" ht="18.75" customHeight="1">
      <c r="A715" s="131"/>
      <c r="B715" s="130" t="s">
        <v>1341</v>
      </c>
      <c r="C715" s="124" t="s">
        <v>595</v>
      </c>
      <c r="D715" s="124"/>
      <c r="E715" s="125">
        <v>130330</v>
      </c>
    </row>
    <row r="716" spans="1:5" ht="17.25" customHeight="1">
      <c r="A716" s="131" t="s">
        <v>380</v>
      </c>
      <c r="B716" s="127" t="s">
        <v>15</v>
      </c>
      <c r="C716" s="124"/>
      <c r="D716" s="124" t="s">
        <v>2595</v>
      </c>
      <c r="E716" s="125"/>
    </row>
    <row r="717" spans="1:5" ht="15">
      <c r="A717" s="131"/>
      <c r="B717" s="130" t="s">
        <v>1354</v>
      </c>
      <c r="C717" s="124" t="s">
        <v>595</v>
      </c>
      <c r="D717" s="124"/>
      <c r="E717" s="125">
        <v>33194</v>
      </c>
    </row>
    <row r="718" spans="1:5" ht="15">
      <c r="A718" s="131"/>
      <c r="B718" s="130" t="s">
        <v>1353</v>
      </c>
      <c r="C718" s="124" t="s">
        <v>595</v>
      </c>
      <c r="D718" s="124"/>
      <c r="E718" s="125">
        <v>53806</v>
      </c>
    </row>
    <row r="719" spans="1:5" ht="15">
      <c r="A719" s="131"/>
      <c r="B719" s="130" t="s">
        <v>1346</v>
      </c>
      <c r="C719" s="124" t="s">
        <v>595</v>
      </c>
      <c r="D719" s="124"/>
      <c r="E719" s="125">
        <v>192631</v>
      </c>
    </row>
    <row r="720" spans="1:5" ht="15">
      <c r="A720" s="131" t="s">
        <v>380</v>
      </c>
      <c r="B720" s="127" t="s">
        <v>9</v>
      </c>
      <c r="C720" s="124"/>
      <c r="D720" s="124" t="s">
        <v>2372</v>
      </c>
      <c r="E720" s="125"/>
    </row>
    <row r="721" spans="1:5" ht="21" customHeight="1">
      <c r="A721" s="131"/>
      <c r="B721" s="130" t="s">
        <v>1347</v>
      </c>
      <c r="C721" s="124" t="s">
        <v>595</v>
      </c>
      <c r="D721" s="124"/>
      <c r="E721" s="125">
        <v>94449</v>
      </c>
    </row>
    <row r="722" spans="1:5" ht="30" customHeight="1">
      <c r="A722" s="131"/>
      <c r="B722" s="130" t="s">
        <v>1348</v>
      </c>
      <c r="C722" s="124" t="s">
        <v>595</v>
      </c>
      <c r="D722" s="124"/>
      <c r="E722" s="125">
        <v>226057</v>
      </c>
    </row>
    <row r="723" spans="1:5" ht="17.25" customHeight="1">
      <c r="A723" s="131" t="s">
        <v>380</v>
      </c>
      <c r="B723" s="127" t="s">
        <v>1344</v>
      </c>
      <c r="C723" s="124"/>
      <c r="D723" s="124" t="s">
        <v>2595</v>
      </c>
      <c r="E723" s="125"/>
    </row>
    <row r="724" spans="1:5" ht="30">
      <c r="A724" s="131"/>
      <c r="B724" s="130" t="s">
        <v>1352</v>
      </c>
      <c r="C724" s="124" t="s">
        <v>595</v>
      </c>
      <c r="D724" s="124"/>
      <c r="E724" s="125">
        <v>273697</v>
      </c>
    </row>
    <row r="725" spans="1:5" ht="15">
      <c r="A725" s="131"/>
      <c r="B725" s="130" t="s">
        <v>1351</v>
      </c>
      <c r="C725" s="124" t="s">
        <v>595</v>
      </c>
      <c r="D725" s="124"/>
      <c r="E725" s="125">
        <v>306636</v>
      </c>
    </row>
    <row r="726" spans="1:5" ht="15">
      <c r="A726" s="131"/>
      <c r="B726" s="130" t="s">
        <v>1350</v>
      </c>
      <c r="C726" s="124" t="s">
        <v>595</v>
      </c>
      <c r="D726" s="124"/>
      <c r="E726" s="125">
        <v>327917</v>
      </c>
    </row>
    <row r="727" spans="1:5" ht="15">
      <c r="A727" s="131"/>
      <c r="B727" s="130" t="s">
        <v>1349</v>
      </c>
      <c r="C727" s="124" t="s">
        <v>595</v>
      </c>
      <c r="D727" s="124"/>
      <c r="E727" s="125">
        <v>410626</v>
      </c>
    </row>
    <row r="728" spans="1:5" ht="19.5" customHeight="1">
      <c r="A728" s="131" t="s">
        <v>1410</v>
      </c>
      <c r="B728" s="127" t="s">
        <v>1411</v>
      </c>
      <c r="C728" s="124"/>
      <c r="D728" s="124" t="s">
        <v>2595</v>
      </c>
      <c r="E728" s="125"/>
    </row>
    <row r="729" spans="1:5" ht="15">
      <c r="A729" s="131"/>
      <c r="B729" s="130" t="s">
        <v>1392</v>
      </c>
      <c r="C729" s="124" t="s">
        <v>595</v>
      </c>
      <c r="D729" s="124"/>
      <c r="E729" s="125">
        <v>104000</v>
      </c>
    </row>
    <row r="730" spans="1:5" ht="15">
      <c r="A730" s="131"/>
      <c r="B730" s="130" t="s">
        <v>1393</v>
      </c>
      <c r="C730" s="124" t="s">
        <v>595</v>
      </c>
      <c r="D730" s="124"/>
      <c r="E730" s="125">
        <v>130000</v>
      </c>
    </row>
    <row r="731" spans="1:5" ht="15">
      <c r="A731" s="131"/>
      <c r="B731" s="130" t="s">
        <v>1394</v>
      </c>
      <c r="C731" s="124" t="s">
        <v>595</v>
      </c>
      <c r="D731" s="124"/>
      <c r="E731" s="125">
        <v>150000</v>
      </c>
    </row>
    <row r="732" spans="1:5" ht="15">
      <c r="A732" s="131"/>
      <c r="B732" s="130" t="s">
        <v>1395</v>
      </c>
      <c r="C732" s="124" t="s">
        <v>595</v>
      </c>
      <c r="D732" s="124"/>
      <c r="E732" s="125">
        <v>158000</v>
      </c>
    </row>
    <row r="733" spans="1:5" ht="15">
      <c r="A733" s="131"/>
      <c r="B733" s="130" t="s">
        <v>1396</v>
      </c>
      <c r="C733" s="124" t="s">
        <v>595</v>
      </c>
      <c r="D733" s="124"/>
      <c r="E733" s="125">
        <v>47222</v>
      </c>
    </row>
    <row r="734" spans="1:5" ht="15">
      <c r="A734" s="131"/>
      <c r="B734" s="130" t="s">
        <v>1397</v>
      </c>
      <c r="C734" s="124" t="s">
        <v>595</v>
      </c>
      <c r="D734" s="124"/>
      <c r="E734" s="125">
        <v>93000</v>
      </c>
    </row>
    <row r="735" spans="1:5" ht="20.25" customHeight="1">
      <c r="A735" s="131"/>
      <c r="B735" s="130" t="s">
        <v>1398</v>
      </c>
      <c r="C735" s="124" t="s">
        <v>595</v>
      </c>
      <c r="D735" s="124"/>
      <c r="E735" s="125">
        <v>30000</v>
      </c>
    </row>
    <row r="736" spans="1:5" ht="15">
      <c r="A736" s="131"/>
      <c r="B736" s="130" t="s">
        <v>1399</v>
      </c>
      <c r="C736" s="124" t="s">
        <v>595</v>
      </c>
      <c r="D736" s="124"/>
      <c r="E736" s="125">
        <v>182000</v>
      </c>
    </row>
    <row r="737" spans="1:5" ht="15">
      <c r="A737" s="131"/>
      <c r="B737" s="130" t="s">
        <v>1400</v>
      </c>
      <c r="C737" s="124" t="s">
        <v>595</v>
      </c>
      <c r="D737" s="124"/>
      <c r="E737" s="125">
        <v>166000</v>
      </c>
    </row>
    <row r="738" spans="1:5" ht="15">
      <c r="A738" s="131"/>
      <c r="B738" s="130" t="s">
        <v>1401</v>
      </c>
      <c r="C738" s="124" t="s">
        <v>595</v>
      </c>
      <c r="D738" s="124"/>
      <c r="E738" s="125">
        <v>210000</v>
      </c>
    </row>
    <row r="739" spans="1:5" ht="15">
      <c r="A739" s="131"/>
      <c r="B739" s="130" t="s">
        <v>1402</v>
      </c>
      <c r="C739" s="124" t="s">
        <v>595</v>
      </c>
      <c r="D739" s="124"/>
      <c r="E739" s="125">
        <v>244000</v>
      </c>
    </row>
    <row r="740" spans="1:5" ht="15">
      <c r="A740" s="131"/>
      <c r="B740" s="130" t="s">
        <v>1403</v>
      </c>
      <c r="C740" s="124" t="s">
        <v>595</v>
      </c>
      <c r="D740" s="124"/>
      <c r="E740" s="125">
        <v>119000</v>
      </c>
    </row>
    <row r="741" spans="1:5" ht="15">
      <c r="A741" s="131"/>
      <c r="B741" s="130" t="s">
        <v>1404</v>
      </c>
      <c r="C741" s="124" t="s">
        <v>595</v>
      </c>
      <c r="D741" s="124"/>
      <c r="E741" s="125">
        <v>220000</v>
      </c>
    </row>
    <row r="742" spans="1:5" ht="15">
      <c r="A742" s="131"/>
      <c r="B742" s="130" t="s">
        <v>1405</v>
      </c>
      <c r="C742" s="124" t="s">
        <v>595</v>
      </c>
      <c r="D742" s="124"/>
      <c r="E742" s="125">
        <v>250000</v>
      </c>
    </row>
    <row r="743" spans="1:5" ht="18" customHeight="1">
      <c r="A743" s="131"/>
      <c r="B743" s="130" t="s">
        <v>1406</v>
      </c>
      <c r="C743" s="124" t="s">
        <v>595</v>
      </c>
      <c r="D743" s="124"/>
      <c r="E743" s="125">
        <v>290000</v>
      </c>
    </row>
    <row r="744" spans="1:5" ht="15">
      <c r="A744" s="131"/>
      <c r="B744" s="130" t="s">
        <v>1407</v>
      </c>
      <c r="C744" s="124" t="s">
        <v>595</v>
      </c>
      <c r="D744" s="124"/>
      <c r="E744" s="125">
        <v>156000</v>
      </c>
    </row>
    <row r="745" spans="1:5" ht="15">
      <c r="A745" s="131"/>
      <c r="B745" s="130" t="s">
        <v>1408</v>
      </c>
      <c r="C745" s="124" t="s">
        <v>595</v>
      </c>
      <c r="D745" s="124"/>
      <c r="E745" s="125">
        <v>161000</v>
      </c>
    </row>
    <row r="746" spans="1:5" ht="15">
      <c r="A746" s="131"/>
      <c r="B746" s="130" t="s">
        <v>1412</v>
      </c>
      <c r="C746" s="124" t="s">
        <v>595</v>
      </c>
      <c r="D746" s="124"/>
      <c r="E746" s="125">
        <v>7750</v>
      </c>
    </row>
    <row r="747" spans="1:5" ht="15">
      <c r="A747" s="131"/>
      <c r="B747" s="130" t="s">
        <v>1409</v>
      </c>
      <c r="C747" s="124" t="s">
        <v>595</v>
      </c>
      <c r="D747" s="124"/>
      <c r="E747" s="125">
        <v>10250</v>
      </c>
    </row>
    <row r="748" spans="1:5" ht="15">
      <c r="A748" s="131">
        <v>7.7</v>
      </c>
      <c r="B748" s="127" t="s">
        <v>1642</v>
      </c>
      <c r="C748" s="124"/>
      <c r="D748" s="124"/>
      <c r="E748" s="125"/>
    </row>
    <row r="749" spans="1:5" ht="15">
      <c r="A749" s="131" t="s">
        <v>380</v>
      </c>
      <c r="B749" s="127" t="s">
        <v>1663</v>
      </c>
      <c r="C749" s="124"/>
      <c r="D749" s="124" t="s">
        <v>2595</v>
      </c>
      <c r="E749" s="125"/>
    </row>
    <row r="750" spans="1:5" ht="16.5" customHeight="1">
      <c r="A750" s="131"/>
      <c r="B750" s="130" t="s">
        <v>1644</v>
      </c>
      <c r="C750" s="124" t="s">
        <v>595</v>
      </c>
      <c r="D750" s="124"/>
      <c r="E750" s="125">
        <v>475000</v>
      </c>
    </row>
    <row r="751" spans="1:5" ht="15">
      <c r="A751" s="131"/>
      <c r="B751" s="130" t="s">
        <v>1645</v>
      </c>
      <c r="C751" s="124" t="s">
        <v>595</v>
      </c>
      <c r="D751" s="124"/>
      <c r="E751" s="125">
        <v>384000</v>
      </c>
    </row>
    <row r="752" spans="1:5" ht="15">
      <c r="A752" s="131"/>
      <c r="B752" s="130" t="s">
        <v>1646</v>
      </c>
      <c r="C752" s="124" t="s">
        <v>595</v>
      </c>
      <c r="D752" s="124"/>
      <c r="E752" s="125">
        <v>305000</v>
      </c>
    </row>
    <row r="753" spans="1:5" ht="15">
      <c r="A753" s="131"/>
      <c r="B753" s="130" t="s">
        <v>1647</v>
      </c>
      <c r="C753" s="124" t="s">
        <v>595</v>
      </c>
      <c r="D753" s="124"/>
      <c r="E753" s="125">
        <v>410000</v>
      </c>
    </row>
    <row r="754" spans="1:5" ht="15">
      <c r="A754" s="131"/>
      <c r="B754" s="130" t="s">
        <v>1648</v>
      </c>
      <c r="C754" s="124" t="s">
        <v>595</v>
      </c>
      <c r="D754" s="124"/>
      <c r="E754" s="125">
        <v>335000</v>
      </c>
    </row>
    <row r="755" spans="1:5" ht="15">
      <c r="A755" s="131"/>
      <c r="B755" s="130" t="s">
        <v>1649</v>
      </c>
      <c r="C755" s="124" t="s">
        <v>595</v>
      </c>
      <c r="D755" s="124"/>
      <c r="E755" s="125">
        <v>250000</v>
      </c>
    </row>
    <row r="756" spans="1:5" ht="15">
      <c r="A756" s="139" t="s">
        <v>380</v>
      </c>
      <c r="B756" s="127" t="s">
        <v>1664</v>
      </c>
      <c r="C756" s="124"/>
      <c r="D756" s="124" t="s">
        <v>2595</v>
      </c>
      <c r="E756" s="125"/>
    </row>
    <row r="757" spans="1:5" ht="15">
      <c r="A757" s="131"/>
      <c r="B757" s="130" t="s">
        <v>1650</v>
      </c>
      <c r="C757" s="124" t="s">
        <v>595</v>
      </c>
      <c r="D757" s="124"/>
      <c r="E757" s="125">
        <v>395000</v>
      </c>
    </row>
    <row r="758" spans="1:5" ht="15">
      <c r="A758" s="131"/>
      <c r="B758" s="130" t="s">
        <v>1651</v>
      </c>
      <c r="C758" s="124" t="s">
        <v>595</v>
      </c>
      <c r="D758" s="124"/>
      <c r="E758" s="125">
        <v>314000</v>
      </c>
    </row>
    <row r="759" spans="1:5" ht="15">
      <c r="A759" s="131"/>
      <c r="B759" s="130" t="s">
        <v>1652</v>
      </c>
      <c r="C759" s="124" t="s">
        <v>595</v>
      </c>
      <c r="D759" s="124"/>
      <c r="E759" s="125">
        <v>230833.33333333334</v>
      </c>
    </row>
    <row r="760" spans="1:5" ht="15">
      <c r="A760" s="131"/>
      <c r="B760" s="130" t="s">
        <v>1653</v>
      </c>
      <c r="C760" s="124" t="s">
        <v>595</v>
      </c>
      <c r="D760" s="124"/>
      <c r="E760" s="125">
        <v>197000</v>
      </c>
    </row>
    <row r="761" spans="1:5" ht="15">
      <c r="A761" s="131"/>
      <c r="B761" s="130" t="s">
        <v>1654</v>
      </c>
      <c r="C761" s="124" t="s">
        <v>595</v>
      </c>
      <c r="D761" s="124"/>
      <c r="E761" s="125">
        <v>176666.66666666666</v>
      </c>
    </row>
    <row r="762" spans="1:5" ht="15">
      <c r="A762" s="131"/>
      <c r="B762" s="130" t="s">
        <v>1709</v>
      </c>
      <c r="C762" s="124" t="s">
        <v>595</v>
      </c>
      <c r="D762" s="124"/>
      <c r="E762" s="125">
        <v>146666.66666666666</v>
      </c>
    </row>
    <row r="763" spans="1:5" s="285" customFormat="1" ht="15.75">
      <c r="A763" s="131"/>
      <c r="B763" s="130" t="s">
        <v>1710</v>
      </c>
      <c r="C763" s="124" t="s">
        <v>595</v>
      </c>
      <c r="D763" s="124"/>
      <c r="E763" s="125">
        <v>122727.27272727272</v>
      </c>
    </row>
    <row r="764" spans="1:5" ht="15">
      <c r="A764" s="131" t="s">
        <v>380</v>
      </c>
      <c r="B764" s="127" t="s">
        <v>1665</v>
      </c>
      <c r="C764" s="124"/>
      <c r="D764" s="124" t="s">
        <v>2595</v>
      </c>
      <c r="E764" s="125"/>
    </row>
    <row r="765" spans="1:5" ht="15">
      <c r="A765" s="131"/>
      <c r="B765" s="130" t="s">
        <v>1655</v>
      </c>
      <c r="C765" s="124" t="s">
        <v>595</v>
      </c>
      <c r="D765" s="124"/>
      <c r="E765" s="125">
        <v>280000</v>
      </c>
    </row>
    <row r="766" spans="1:5" ht="15">
      <c r="A766" s="131"/>
      <c r="B766" s="130" t="s">
        <v>1656</v>
      </c>
      <c r="C766" s="124" t="s">
        <v>595</v>
      </c>
      <c r="D766" s="124"/>
      <c r="E766" s="125">
        <v>195217.39130434784</v>
      </c>
    </row>
    <row r="767" spans="1:5" ht="15">
      <c r="A767" s="131"/>
      <c r="B767" s="130" t="s">
        <v>1707</v>
      </c>
      <c r="C767" s="124" t="s">
        <v>595</v>
      </c>
      <c r="D767" s="124"/>
      <c r="E767" s="125">
        <v>173333.33333333334</v>
      </c>
    </row>
    <row r="768" spans="1:5" ht="15">
      <c r="A768" s="131"/>
      <c r="B768" s="130" t="s">
        <v>1708</v>
      </c>
      <c r="C768" s="124" t="s">
        <v>595</v>
      </c>
      <c r="D768" s="124"/>
      <c r="E768" s="125">
        <v>149318.18181818182</v>
      </c>
    </row>
    <row r="769" spans="1:5" ht="15">
      <c r="A769" s="131" t="s">
        <v>380</v>
      </c>
      <c r="B769" s="127" t="s">
        <v>1666</v>
      </c>
      <c r="C769" s="124"/>
      <c r="D769" s="124" t="s">
        <v>2595</v>
      </c>
      <c r="E769" s="125"/>
    </row>
    <row r="770" spans="1:5" ht="15">
      <c r="A770" s="131"/>
      <c r="B770" s="130" t="s">
        <v>1657</v>
      </c>
      <c r="C770" s="124" t="s">
        <v>595</v>
      </c>
      <c r="D770" s="124"/>
      <c r="E770" s="125">
        <v>210000</v>
      </c>
    </row>
    <row r="771" spans="1:5" ht="15">
      <c r="A771" s="131"/>
      <c r="B771" s="130" t="s">
        <v>1658</v>
      </c>
      <c r="C771" s="124" t="s">
        <v>595</v>
      </c>
      <c r="D771" s="124"/>
      <c r="E771" s="125">
        <v>186000</v>
      </c>
    </row>
    <row r="772" spans="1:5" ht="15">
      <c r="A772" s="131"/>
      <c r="B772" s="130" t="s">
        <v>1659</v>
      </c>
      <c r="C772" s="124" t="s">
        <v>595</v>
      </c>
      <c r="D772" s="124"/>
      <c r="E772" s="125">
        <v>154750</v>
      </c>
    </row>
    <row r="773" spans="1:5" ht="15">
      <c r="A773" s="131" t="s">
        <v>380</v>
      </c>
      <c r="B773" s="127" t="s">
        <v>1667</v>
      </c>
      <c r="C773" s="124"/>
      <c r="D773" s="124" t="s">
        <v>2595</v>
      </c>
      <c r="E773" s="125"/>
    </row>
    <row r="774" spans="1:5" ht="15">
      <c r="A774" s="131"/>
      <c r="B774" s="130" t="s">
        <v>1660</v>
      </c>
      <c r="C774" s="124" t="s">
        <v>595</v>
      </c>
      <c r="D774" s="124"/>
      <c r="E774" s="125">
        <v>20625</v>
      </c>
    </row>
    <row r="775" spans="1:5" ht="15">
      <c r="A775" s="131"/>
      <c r="B775" s="130" t="s">
        <v>1661</v>
      </c>
      <c r="C775" s="124" t="s">
        <v>595</v>
      </c>
      <c r="D775" s="124"/>
      <c r="E775" s="125">
        <v>15750</v>
      </c>
    </row>
    <row r="776" spans="1:5" ht="15">
      <c r="A776" s="131"/>
      <c r="B776" s="130" t="s">
        <v>1662</v>
      </c>
      <c r="C776" s="124" t="s">
        <v>595</v>
      </c>
      <c r="D776" s="124"/>
      <c r="E776" s="125">
        <v>13750</v>
      </c>
    </row>
    <row r="777" spans="1:5" ht="15">
      <c r="A777" s="131" t="s">
        <v>380</v>
      </c>
      <c r="B777" s="127" t="s">
        <v>1668</v>
      </c>
      <c r="C777" s="124"/>
      <c r="D777" s="124" t="s">
        <v>2595</v>
      </c>
      <c r="E777" s="125"/>
    </row>
    <row r="778" spans="1:5" ht="15">
      <c r="A778" s="131"/>
      <c r="B778" s="130" t="s">
        <v>1669</v>
      </c>
      <c r="C778" s="124" t="s">
        <v>595</v>
      </c>
      <c r="D778" s="124"/>
      <c r="E778" s="125">
        <v>150000</v>
      </c>
    </row>
    <row r="779" spans="1:5" ht="15" customHeight="1">
      <c r="A779" s="131"/>
      <c r="B779" s="130" t="s">
        <v>1670</v>
      </c>
      <c r="C779" s="124" t="s">
        <v>595</v>
      </c>
      <c r="D779" s="124"/>
      <c r="E779" s="125">
        <v>132708.33333333334</v>
      </c>
    </row>
    <row r="780" spans="1:5" ht="15">
      <c r="A780" s="131"/>
      <c r="B780" s="130" t="s">
        <v>1671</v>
      </c>
      <c r="C780" s="124" t="s">
        <v>595</v>
      </c>
      <c r="D780" s="124"/>
      <c r="E780" s="125">
        <v>150000</v>
      </c>
    </row>
    <row r="781" spans="1:5" ht="15">
      <c r="A781" s="131"/>
      <c r="B781" s="130" t="s">
        <v>1672</v>
      </c>
      <c r="C781" s="124" t="s">
        <v>595</v>
      </c>
      <c r="D781" s="124"/>
      <c r="E781" s="125">
        <v>93571.42857142857</v>
      </c>
    </row>
    <row r="782" spans="1:5" ht="15">
      <c r="A782" s="131"/>
      <c r="B782" s="130" t="s">
        <v>1673</v>
      </c>
      <c r="C782" s="124" t="s">
        <v>595</v>
      </c>
      <c r="D782" s="124"/>
      <c r="E782" s="125">
        <v>86666.66666666667</v>
      </c>
    </row>
    <row r="783" spans="1:5" ht="15">
      <c r="A783" s="139" t="s">
        <v>380</v>
      </c>
      <c r="B783" s="127" t="s">
        <v>1674</v>
      </c>
      <c r="C783" s="124"/>
      <c r="D783" s="124" t="s">
        <v>2595</v>
      </c>
      <c r="E783" s="125"/>
    </row>
    <row r="784" spans="1:5" ht="15">
      <c r="A784" s="131"/>
      <c r="B784" s="130" t="s">
        <v>1675</v>
      </c>
      <c r="C784" s="124" t="s">
        <v>595</v>
      </c>
      <c r="D784" s="124"/>
      <c r="E784" s="125">
        <v>104285.71428571429</v>
      </c>
    </row>
    <row r="785" spans="1:5" ht="15">
      <c r="A785" s="131"/>
      <c r="B785" s="130" t="s">
        <v>1676</v>
      </c>
      <c r="C785" s="124" t="s">
        <v>595</v>
      </c>
      <c r="D785" s="124"/>
      <c r="E785" s="125">
        <v>93333.33333333333</v>
      </c>
    </row>
    <row r="786" spans="1:5" ht="14.25" customHeight="1">
      <c r="A786" s="131"/>
      <c r="B786" s="130" t="s">
        <v>1677</v>
      </c>
      <c r="C786" s="124" t="s">
        <v>595</v>
      </c>
      <c r="D786" s="124"/>
      <c r="E786" s="125">
        <v>64285.71428571428</v>
      </c>
    </row>
    <row r="787" spans="1:5" ht="15">
      <c r="A787" s="131"/>
      <c r="B787" s="130" t="s">
        <v>1678</v>
      </c>
      <c r="C787" s="124" t="s">
        <v>595</v>
      </c>
      <c r="D787" s="124"/>
      <c r="E787" s="125">
        <v>58333.333333333336</v>
      </c>
    </row>
    <row r="788" spans="1:5" ht="15">
      <c r="A788" s="131"/>
      <c r="B788" s="130" t="s">
        <v>1679</v>
      </c>
      <c r="C788" s="124" t="s">
        <v>595</v>
      </c>
      <c r="D788" s="124"/>
      <c r="E788" s="125">
        <v>64285.71428571428</v>
      </c>
    </row>
    <row r="789" spans="1:5" ht="15">
      <c r="A789" s="131"/>
      <c r="B789" s="130" t="s">
        <v>1680</v>
      </c>
      <c r="C789" s="124" t="s">
        <v>595</v>
      </c>
      <c r="D789" s="124"/>
      <c r="E789" s="125">
        <v>56000</v>
      </c>
    </row>
    <row r="790" spans="1:5" ht="15">
      <c r="A790" s="131"/>
      <c r="B790" s="130" t="s">
        <v>1681</v>
      </c>
      <c r="C790" s="124" t="s">
        <v>595</v>
      </c>
      <c r="D790" s="124"/>
      <c r="E790" s="125">
        <v>45000</v>
      </c>
    </row>
    <row r="791" spans="1:5" ht="15">
      <c r="A791" s="131"/>
      <c r="B791" s="130" t="s">
        <v>1682</v>
      </c>
      <c r="C791" s="124" t="s">
        <v>595</v>
      </c>
      <c r="D791" s="124"/>
      <c r="E791" s="125">
        <v>39750</v>
      </c>
    </row>
    <row r="792" spans="1:5" ht="15">
      <c r="A792" s="131" t="s">
        <v>380</v>
      </c>
      <c r="B792" s="127" t="s">
        <v>1683</v>
      </c>
      <c r="C792" s="124"/>
      <c r="D792" s="124" t="s">
        <v>2595</v>
      </c>
      <c r="E792" s="125"/>
    </row>
    <row r="793" spans="1:5" ht="15">
      <c r="A793" s="131"/>
      <c r="B793" s="130" t="s">
        <v>1684</v>
      </c>
      <c r="C793" s="124" t="s">
        <v>595</v>
      </c>
      <c r="D793" s="124"/>
      <c r="E793" s="125">
        <v>112500</v>
      </c>
    </row>
    <row r="794" spans="1:5" ht="15">
      <c r="A794" s="131"/>
      <c r="B794" s="130" t="s">
        <v>1685</v>
      </c>
      <c r="C794" s="124" t="s">
        <v>595</v>
      </c>
      <c r="D794" s="124"/>
      <c r="E794" s="125">
        <v>91600</v>
      </c>
    </row>
    <row r="795" spans="1:5" ht="15">
      <c r="A795" s="131" t="s">
        <v>380</v>
      </c>
      <c r="B795" s="127" t="s">
        <v>1711</v>
      </c>
      <c r="C795" s="124"/>
      <c r="D795" s="124" t="s">
        <v>2595</v>
      </c>
      <c r="E795" s="125"/>
    </row>
    <row r="796" spans="1:5" ht="30">
      <c r="A796" s="131"/>
      <c r="B796" s="130" t="s">
        <v>1686</v>
      </c>
      <c r="C796" s="124" t="s">
        <v>595</v>
      </c>
      <c r="D796" s="124"/>
      <c r="E796" s="125">
        <v>170000</v>
      </c>
    </row>
    <row r="797" spans="1:5" ht="30">
      <c r="A797" s="131"/>
      <c r="B797" s="130" t="s">
        <v>1687</v>
      </c>
      <c r="C797" s="124" t="s">
        <v>595</v>
      </c>
      <c r="D797" s="124"/>
      <c r="E797" s="125">
        <v>135555.55555555556</v>
      </c>
    </row>
    <row r="798" spans="1:5" ht="30">
      <c r="A798" s="131"/>
      <c r="B798" s="130" t="s">
        <v>1688</v>
      </c>
      <c r="C798" s="124" t="s">
        <v>595</v>
      </c>
      <c r="D798" s="124"/>
      <c r="E798" s="125">
        <v>110277.77777777778</v>
      </c>
    </row>
    <row r="799" spans="1:5" ht="15">
      <c r="A799" s="131"/>
      <c r="B799" s="130" t="s">
        <v>1712</v>
      </c>
      <c r="C799" s="124" t="s">
        <v>595</v>
      </c>
      <c r="D799" s="124"/>
      <c r="E799" s="125">
        <v>340000</v>
      </c>
    </row>
    <row r="800" spans="1:5" ht="15">
      <c r="A800" s="131"/>
      <c r="B800" s="130" t="s">
        <v>1713</v>
      </c>
      <c r="C800" s="124" t="s">
        <v>595</v>
      </c>
      <c r="D800" s="124"/>
      <c r="E800" s="125">
        <v>230000</v>
      </c>
    </row>
    <row r="801" spans="1:5" ht="15">
      <c r="A801" s="131" t="s">
        <v>380</v>
      </c>
      <c r="B801" s="127" t="s">
        <v>1689</v>
      </c>
      <c r="C801" s="124"/>
      <c r="D801" s="124" t="s">
        <v>2595</v>
      </c>
      <c r="E801" s="125"/>
    </row>
    <row r="802" spans="1:5" ht="15">
      <c r="A802" s="131"/>
      <c r="B802" s="130" t="s">
        <v>1691</v>
      </c>
      <c r="C802" s="124" t="s">
        <v>595</v>
      </c>
      <c r="D802" s="124"/>
      <c r="E802" s="125">
        <v>9375</v>
      </c>
    </row>
    <row r="803" spans="1:5" ht="15">
      <c r="A803" s="131"/>
      <c r="B803" s="130" t="s">
        <v>1692</v>
      </c>
      <c r="C803" s="124" t="s">
        <v>595</v>
      </c>
      <c r="D803" s="124"/>
      <c r="E803" s="125">
        <v>8250</v>
      </c>
    </row>
    <row r="804" spans="1:5" ht="15">
      <c r="A804" s="131"/>
      <c r="B804" s="130" t="s">
        <v>1693</v>
      </c>
      <c r="C804" s="124" t="s">
        <v>595</v>
      </c>
      <c r="D804" s="124"/>
      <c r="E804" s="125">
        <v>9375</v>
      </c>
    </row>
    <row r="805" spans="1:5" ht="15">
      <c r="A805" s="131"/>
      <c r="B805" s="130" t="s">
        <v>1694</v>
      </c>
      <c r="C805" s="124" t="s">
        <v>595</v>
      </c>
      <c r="D805" s="124"/>
      <c r="E805" s="125">
        <v>8250</v>
      </c>
    </row>
    <row r="806" spans="1:5" ht="30">
      <c r="A806" s="131" t="s">
        <v>1994</v>
      </c>
      <c r="B806" s="127" t="s">
        <v>1690</v>
      </c>
      <c r="C806" s="124"/>
      <c r="D806" s="124"/>
      <c r="E806" s="125"/>
    </row>
    <row r="807" spans="1:5" ht="15">
      <c r="A807" s="131" t="s">
        <v>380</v>
      </c>
      <c r="B807" s="127" t="s">
        <v>1643</v>
      </c>
      <c r="C807" s="124"/>
      <c r="D807" s="124"/>
      <c r="E807" s="125"/>
    </row>
    <row r="808" spans="1:5" ht="15">
      <c r="A808" s="131"/>
      <c r="B808" s="130" t="s">
        <v>1695</v>
      </c>
      <c r="C808" s="124" t="s">
        <v>595</v>
      </c>
      <c r="D808" s="124"/>
      <c r="E808" s="125">
        <v>466000</v>
      </c>
    </row>
    <row r="809" spans="1:5" ht="15">
      <c r="A809" s="131"/>
      <c r="B809" s="130" t="s">
        <v>1714</v>
      </c>
      <c r="C809" s="124" t="s">
        <v>595</v>
      </c>
      <c r="D809" s="124"/>
      <c r="E809" s="125">
        <v>467500</v>
      </c>
    </row>
    <row r="810" spans="1:5" ht="15">
      <c r="A810" s="131"/>
      <c r="B810" s="130" t="s">
        <v>1715</v>
      </c>
      <c r="C810" s="124" t="s">
        <v>595</v>
      </c>
      <c r="D810" s="124"/>
      <c r="E810" s="125">
        <v>488000</v>
      </c>
    </row>
    <row r="811" spans="1:5" ht="15">
      <c r="A811" s="131"/>
      <c r="B811" s="130" t="s">
        <v>1716</v>
      </c>
      <c r="C811" s="124" t="s">
        <v>595</v>
      </c>
      <c r="D811" s="124"/>
      <c r="E811" s="125">
        <v>442000</v>
      </c>
    </row>
    <row r="812" spans="1:5" ht="15">
      <c r="A812" s="170" t="s">
        <v>380</v>
      </c>
      <c r="B812" s="171" t="s">
        <v>15</v>
      </c>
      <c r="C812" s="172"/>
      <c r="D812" s="172"/>
      <c r="E812" s="173"/>
    </row>
    <row r="813" spans="1:5" ht="15.75" hidden="1">
      <c r="A813" s="174"/>
      <c r="B813" s="175" t="s">
        <v>1696</v>
      </c>
      <c r="C813" s="172" t="s">
        <v>595</v>
      </c>
      <c r="D813" s="172"/>
      <c r="E813" s="173">
        <v>252000</v>
      </c>
    </row>
    <row r="814" spans="1:5" ht="15.75" hidden="1">
      <c r="A814" s="174"/>
      <c r="B814" s="175" t="s">
        <v>1697</v>
      </c>
      <c r="C814" s="172" t="s">
        <v>595</v>
      </c>
      <c r="D814" s="172"/>
      <c r="E814" s="173">
        <v>363000</v>
      </c>
    </row>
    <row r="815" spans="1:5" ht="15.75" hidden="1">
      <c r="A815" s="174"/>
      <c r="B815" s="175" t="s">
        <v>1698</v>
      </c>
      <c r="C815" s="172" t="s">
        <v>595</v>
      </c>
      <c r="D815" s="172"/>
      <c r="E815" s="173">
        <v>1229000</v>
      </c>
    </row>
    <row r="816" spans="1:5" ht="15.75" hidden="1">
      <c r="A816" s="174"/>
      <c r="B816" s="175" t="s">
        <v>1699</v>
      </c>
      <c r="C816" s="172" t="s">
        <v>595</v>
      </c>
      <c r="D816" s="172"/>
      <c r="E816" s="173">
        <v>2720000</v>
      </c>
    </row>
    <row r="817" spans="1:5" ht="15.75" hidden="1">
      <c r="A817" s="174"/>
      <c r="B817" s="175" t="s">
        <v>1700</v>
      </c>
      <c r="C817" s="172" t="s">
        <v>595</v>
      </c>
      <c r="D817" s="172"/>
      <c r="E817" s="173">
        <v>1615000</v>
      </c>
    </row>
    <row r="818" spans="1:5" ht="15.75" hidden="1">
      <c r="A818" s="174" t="s">
        <v>380</v>
      </c>
      <c r="B818" s="171" t="s">
        <v>1701</v>
      </c>
      <c r="C818" s="172"/>
      <c r="D818" s="172"/>
      <c r="E818" s="173"/>
    </row>
    <row r="819" spans="1:5" ht="15.75" hidden="1">
      <c r="A819" s="174"/>
      <c r="B819" s="175" t="s">
        <v>1702</v>
      </c>
      <c r="C819" s="172" t="s">
        <v>595</v>
      </c>
      <c r="D819" s="172"/>
      <c r="E819" s="173">
        <v>242000</v>
      </c>
    </row>
    <row r="820" spans="1:5" ht="15.75" hidden="1">
      <c r="A820" s="174"/>
      <c r="B820" s="175" t="s">
        <v>1703</v>
      </c>
      <c r="C820" s="172" t="s">
        <v>595</v>
      </c>
      <c r="D820" s="172"/>
      <c r="E820" s="173">
        <v>342000</v>
      </c>
    </row>
    <row r="821" spans="1:5" ht="15.75" hidden="1">
      <c r="A821" s="131"/>
      <c r="B821" s="130" t="s">
        <v>1717</v>
      </c>
      <c r="C821" s="124" t="s">
        <v>595</v>
      </c>
      <c r="D821" s="124"/>
      <c r="E821" s="125">
        <v>427500</v>
      </c>
    </row>
    <row r="822" spans="1:5" ht="15.75" hidden="1">
      <c r="A822" s="174" t="s">
        <v>1994</v>
      </c>
      <c r="B822" s="176" t="s">
        <v>2288</v>
      </c>
      <c r="C822" s="124"/>
      <c r="D822" s="124"/>
      <c r="E822" s="125"/>
    </row>
    <row r="823" spans="1:5" ht="30" hidden="1">
      <c r="A823" s="174"/>
      <c r="B823" s="177" t="s">
        <v>1996</v>
      </c>
      <c r="C823" s="172"/>
      <c r="D823" s="172"/>
      <c r="E823" s="173"/>
    </row>
    <row r="824" spans="1:5" ht="15.75" customHeight="1" hidden="1">
      <c r="A824" s="174" t="s">
        <v>380</v>
      </c>
      <c r="B824" s="171" t="s">
        <v>1997</v>
      </c>
      <c r="C824" s="172"/>
      <c r="D824" s="124" t="s">
        <v>2595</v>
      </c>
      <c r="E824" s="173"/>
    </row>
    <row r="825" spans="1:5" ht="15.75" customHeight="1" hidden="1">
      <c r="A825" s="174"/>
      <c r="B825" s="175" t="s">
        <v>1998</v>
      </c>
      <c r="C825" s="172" t="s">
        <v>2013</v>
      </c>
      <c r="D825" s="172"/>
      <c r="E825" s="173">
        <v>74050</v>
      </c>
    </row>
    <row r="826" spans="1:5" ht="15.75" hidden="1">
      <c r="A826" s="174"/>
      <c r="B826" s="175" t="s">
        <v>1999</v>
      </c>
      <c r="C826" s="172" t="s">
        <v>2013</v>
      </c>
      <c r="D826" s="172"/>
      <c r="E826" s="173">
        <v>100850</v>
      </c>
    </row>
    <row r="827" spans="1:5" ht="15.75" hidden="1">
      <c r="A827" s="174"/>
      <c r="B827" s="175" t="s">
        <v>2000</v>
      </c>
      <c r="C827" s="172" t="s">
        <v>2013</v>
      </c>
      <c r="D827" s="172"/>
      <c r="E827" s="173">
        <v>130500</v>
      </c>
    </row>
    <row r="828" spans="1:5" ht="15.75" hidden="1">
      <c r="A828" s="174"/>
      <c r="B828" s="175" t="s">
        <v>2001</v>
      </c>
      <c r="C828" s="172" t="s">
        <v>2013</v>
      </c>
      <c r="D828" s="172"/>
      <c r="E828" s="173">
        <v>76900</v>
      </c>
    </row>
    <row r="829" spans="1:5" ht="15">
      <c r="A829" s="174"/>
      <c r="B829" s="175" t="s">
        <v>2002</v>
      </c>
      <c r="C829" s="172" t="s">
        <v>2013</v>
      </c>
      <c r="D829" s="172"/>
      <c r="E829" s="173">
        <v>45550</v>
      </c>
    </row>
    <row r="830" spans="1:5" ht="15">
      <c r="A830" s="174"/>
      <c r="B830" s="175" t="s">
        <v>2003</v>
      </c>
      <c r="C830" s="172" t="s">
        <v>2013</v>
      </c>
      <c r="D830" s="172"/>
      <c r="E830" s="173">
        <v>157200</v>
      </c>
    </row>
    <row r="831" spans="1:5" ht="15">
      <c r="A831" s="174"/>
      <c r="B831" s="175" t="s">
        <v>2004</v>
      </c>
      <c r="C831" s="172" t="s">
        <v>2013</v>
      </c>
      <c r="D831" s="172"/>
      <c r="E831" s="173">
        <v>101200</v>
      </c>
    </row>
    <row r="832" spans="1:5" ht="15">
      <c r="A832" s="174" t="s">
        <v>380</v>
      </c>
      <c r="B832" s="171" t="s">
        <v>2005</v>
      </c>
      <c r="C832" s="172"/>
      <c r="D832" s="124" t="s">
        <v>2595</v>
      </c>
      <c r="E832" s="173"/>
    </row>
    <row r="833" spans="1:5" ht="15">
      <c r="A833" s="174"/>
      <c r="B833" s="175" t="s">
        <v>2006</v>
      </c>
      <c r="C833" s="172" t="s">
        <v>2013</v>
      </c>
      <c r="D833" s="172"/>
      <c r="E833" s="173">
        <v>99650</v>
      </c>
    </row>
    <row r="834" spans="1:5" ht="15">
      <c r="A834" s="174"/>
      <c r="B834" s="175" t="s">
        <v>2007</v>
      </c>
      <c r="C834" s="172" t="s">
        <v>2013</v>
      </c>
      <c r="D834" s="172"/>
      <c r="E834" s="173">
        <v>185250</v>
      </c>
    </row>
    <row r="835" spans="1:5" ht="15">
      <c r="A835" s="174"/>
      <c r="B835" s="175" t="s">
        <v>2004</v>
      </c>
      <c r="C835" s="172" t="s">
        <v>2013</v>
      </c>
      <c r="D835" s="172"/>
      <c r="E835" s="173">
        <v>219900</v>
      </c>
    </row>
    <row r="836" spans="1:5" ht="15">
      <c r="A836" s="174"/>
      <c r="B836" s="175" t="s">
        <v>2008</v>
      </c>
      <c r="C836" s="172" t="s">
        <v>2013</v>
      </c>
      <c r="D836" s="172"/>
      <c r="E836" s="173">
        <v>145050</v>
      </c>
    </row>
    <row r="837" spans="1:5" ht="15">
      <c r="A837" s="174"/>
      <c r="B837" s="175" t="s">
        <v>2009</v>
      </c>
      <c r="C837" s="172" t="s">
        <v>2013</v>
      </c>
      <c r="D837" s="172"/>
      <c r="E837" s="173">
        <v>177750</v>
      </c>
    </row>
    <row r="838" spans="1:5" ht="15">
      <c r="A838" s="174"/>
      <c r="B838" s="175" t="s">
        <v>2010</v>
      </c>
      <c r="C838" s="172" t="s">
        <v>2013</v>
      </c>
      <c r="D838" s="172"/>
      <c r="E838" s="173">
        <v>318600</v>
      </c>
    </row>
    <row r="839" spans="1:5" ht="15">
      <c r="A839" s="174"/>
      <c r="B839" s="175" t="s">
        <v>2011</v>
      </c>
      <c r="C839" s="172" t="s">
        <v>2013</v>
      </c>
      <c r="D839" s="172"/>
      <c r="E839" s="173">
        <v>182880</v>
      </c>
    </row>
    <row r="840" spans="1:5" ht="15">
      <c r="A840" s="174"/>
      <c r="B840" s="175" t="s">
        <v>2012</v>
      </c>
      <c r="C840" s="172" t="s">
        <v>2013</v>
      </c>
      <c r="D840" s="172"/>
      <c r="E840" s="173">
        <v>441900</v>
      </c>
    </row>
    <row r="841" spans="1:5" ht="15">
      <c r="A841" s="174" t="s">
        <v>1995</v>
      </c>
      <c r="B841" s="422" t="s">
        <v>2035</v>
      </c>
      <c r="C841" s="422"/>
      <c r="D841" s="422"/>
      <c r="E841" s="173"/>
    </row>
    <row r="842" spans="1:5" ht="15">
      <c r="A842" s="174" t="s">
        <v>380</v>
      </c>
      <c r="B842" s="171" t="s">
        <v>1997</v>
      </c>
      <c r="C842" s="172"/>
      <c r="D842" s="124" t="s">
        <v>2595</v>
      </c>
      <c r="E842" s="173"/>
    </row>
    <row r="843" spans="1:5" ht="15">
      <c r="A843" s="174"/>
      <c r="B843" s="175" t="s">
        <v>2031</v>
      </c>
      <c r="C843" s="172" t="s">
        <v>2013</v>
      </c>
      <c r="D843" s="172"/>
      <c r="E843" s="173">
        <v>55500</v>
      </c>
    </row>
    <row r="844" spans="1:5" ht="15">
      <c r="A844" s="174"/>
      <c r="B844" s="175" t="s">
        <v>2032</v>
      </c>
      <c r="C844" s="172" t="s">
        <v>2013</v>
      </c>
      <c r="D844" s="172"/>
      <c r="E844" s="173">
        <v>75888.88888888889</v>
      </c>
    </row>
    <row r="845" spans="1:5" ht="15">
      <c r="A845" s="174"/>
      <c r="B845" s="175" t="s">
        <v>2033</v>
      </c>
      <c r="C845" s="172" t="s">
        <v>2013</v>
      </c>
      <c r="D845" s="172"/>
      <c r="E845" s="173">
        <v>88222.22222222222</v>
      </c>
    </row>
    <row r="846" spans="1:5" ht="15">
      <c r="A846" s="174"/>
      <c r="B846" s="175" t="s">
        <v>2014</v>
      </c>
      <c r="C846" s="172" t="s">
        <v>2013</v>
      </c>
      <c r="D846" s="172"/>
      <c r="E846" s="173">
        <v>108444.44444444444</v>
      </c>
    </row>
    <row r="847" spans="1:5" ht="15">
      <c r="A847" s="174"/>
      <c r="B847" s="175" t="s">
        <v>2015</v>
      </c>
      <c r="C847" s="172" t="s">
        <v>2013</v>
      </c>
      <c r="D847" s="172"/>
      <c r="E847" s="173">
        <v>111055.55555555556</v>
      </c>
    </row>
    <row r="848" spans="1:5" ht="18.75" customHeight="1">
      <c r="A848" s="174"/>
      <c r="B848" s="175" t="s">
        <v>2016</v>
      </c>
      <c r="C848" s="172" t="s">
        <v>2013</v>
      </c>
      <c r="D848" s="172"/>
      <c r="E848" s="173">
        <v>121222.22222222222</v>
      </c>
    </row>
    <row r="849" spans="1:5" ht="15">
      <c r="A849" s="174"/>
      <c r="B849" s="175" t="s">
        <v>2017</v>
      </c>
      <c r="C849" s="172" t="s">
        <v>2013</v>
      </c>
      <c r="D849" s="172"/>
      <c r="E849" s="173">
        <v>188777.77777777778</v>
      </c>
    </row>
    <row r="850" spans="1:5" ht="15">
      <c r="A850" s="174"/>
      <c r="B850" s="175" t="s">
        <v>2018</v>
      </c>
      <c r="C850" s="172" t="s">
        <v>2013</v>
      </c>
      <c r="D850" s="172"/>
      <c r="E850" s="173">
        <v>201833.33333333334</v>
      </c>
    </row>
    <row r="851" spans="1:5" ht="15">
      <c r="A851" s="174"/>
      <c r="B851" s="175" t="s">
        <v>2034</v>
      </c>
      <c r="C851" s="172" t="s">
        <v>2013</v>
      </c>
      <c r="D851" s="172"/>
      <c r="E851" s="173">
        <v>221944.44444444444</v>
      </c>
    </row>
    <row r="852" spans="1:5" ht="15">
      <c r="A852" s="174" t="s">
        <v>380</v>
      </c>
      <c r="B852" s="171" t="s">
        <v>2005</v>
      </c>
      <c r="C852" s="172"/>
      <c r="D852" s="124" t="s">
        <v>2595</v>
      </c>
      <c r="E852" s="173"/>
    </row>
    <row r="853" spans="1:5" ht="15">
      <c r="A853" s="174"/>
      <c r="B853" s="175" t="s">
        <v>2019</v>
      </c>
      <c r="C853" s="172" t="s">
        <v>2013</v>
      </c>
      <c r="D853" s="172"/>
      <c r="E853" s="173">
        <v>126611.11111111111</v>
      </c>
    </row>
    <row r="854" spans="1:5" ht="15">
      <c r="A854" s="174"/>
      <c r="B854" s="175" t="s">
        <v>2014</v>
      </c>
      <c r="C854" s="172" t="s">
        <v>2013</v>
      </c>
      <c r="D854" s="172"/>
      <c r="E854" s="173">
        <v>144388.88888888888</v>
      </c>
    </row>
    <row r="855" spans="1:5" ht="15">
      <c r="A855" s="174"/>
      <c r="B855" s="175" t="s">
        <v>2015</v>
      </c>
      <c r="C855" s="172" t="s">
        <v>2013</v>
      </c>
      <c r="D855" s="172"/>
      <c r="E855" s="173">
        <v>149944.44444444444</v>
      </c>
    </row>
    <row r="856" spans="1:5" ht="15">
      <c r="A856" s="174"/>
      <c r="B856" s="175" t="s">
        <v>2020</v>
      </c>
      <c r="C856" s="172" t="s">
        <v>2013</v>
      </c>
      <c r="D856" s="172"/>
      <c r="E856" s="173">
        <v>221944.44444444444</v>
      </c>
    </row>
    <row r="857" spans="1:5" ht="15">
      <c r="A857" s="174"/>
      <c r="B857" s="175" t="s">
        <v>2021</v>
      </c>
      <c r="C857" s="172" t="s">
        <v>2013</v>
      </c>
      <c r="D857" s="172"/>
      <c r="E857" s="173">
        <v>231555.55555555556</v>
      </c>
    </row>
    <row r="858" spans="1:5" ht="15">
      <c r="A858" s="174"/>
      <c r="B858" s="175" t="s">
        <v>2022</v>
      </c>
      <c r="C858" s="172" t="s">
        <v>2013</v>
      </c>
      <c r="D858" s="172"/>
      <c r="E858" s="173">
        <v>228400</v>
      </c>
    </row>
    <row r="859" spans="1:5" ht="15">
      <c r="A859" s="174" t="s">
        <v>380</v>
      </c>
      <c r="B859" s="171" t="s">
        <v>2023</v>
      </c>
      <c r="C859" s="172"/>
      <c r="D859" s="124" t="s">
        <v>2595</v>
      </c>
      <c r="E859" s="173"/>
    </row>
    <row r="860" spans="1:5" ht="15">
      <c r="A860" s="174"/>
      <c r="B860" s="175" t="s">
        <v>2024</v>
      </c>
      <c r="C860" s="172" t="s">
        <v>2013</v>
      </c>
      <c r="D860" s="172"/>
      <c r="E860" s="173">
        <v>144388.88888888888</v>
      </c>
    </row>
    <row r="861" spans="1:5" ht="15">
      <c r="A861" s="174"/>
      <c r="B861" s="175" t="s">
        <v>2025</v>
      </c>
      <c r="C861" s="172" t="s">
        <v>2013</v>
      </c>
      <c r="D861" s="172"/>
      <c r="E861" s="173">
        <v>149944.44444444444</v>
      </c>
    </row>
    <row r="862" spans="1:5" ht="15">
      <c r="A862" s="174"/>
      <c r="B862" s="175" t="s">
        <v>2026</v>
      </c>
      <c r="C862" s="172" t="s">
        <v>2013</v>
      </c>
      <c r="D862" s="172"/>
      <c r="E862" s="173">
        <v>181444.44444444444</v>
      </c>
    </row>
    <row r="863" spans="1:5" ht="15">
      <c r="A863" s="174"/>
      <c r="B863" s="175" t="s">
        <v>2027</v>
      </c>
      <c r="C863" s="172" t="s">
        <v>2013</v>
      </c>
      <c r="D863" s="172"/>
      <c r="E863" s="173">
        <v>272400</v>
      </c>
    </row>
    <row r="864" spans="1:5" ht="15">
      <c r="A864" s="174" t="s">
        <v>380</v>
      </c>
      <c r="B864" s="171" t="s">
        <v>2028</v>
      </c>
      <c r="C864" s="172"/>
      <c r="D864" s="124" t="s">
        <v>2595</v>
      </c>
      <c r="E864" s="173"/>
    </row>
    <row r="865" spans="1:5" ht="15">
      <c r="A865" s="174"/>
      <c r="B865" s="175" t="s">
        <v>2029</v>
      </c>
      <c r="C865" s="172" t="s">
        <v>595</v>
      </c>
      <c r="D865" s="172"/>
      <c r="E865" s="173">
        <v>486000</v>
      </c>
    </row>
    <row r="866" spans="1:5" ht="15">
      <c r="A866" s="174"/>
      <c r="B866" s="175" t="s">
        <v>2030</v>
      </c>
      <c r="C866" s="172" t="s">
        <v>595</v>
      </c>
      <c r="D866" s="172"/>
      <c r="E866" s="173">
        <v>498000</v>
      </c>
    </row>
    <row r="867" spans="1:5" ht="15">
      <c r="A867" s="174" t="s">
        <v>2036</v>
      </c>
      <c r="B867" s="176" t="s">
        <v>2290</v>
      </c>
      <c r="C867" s="172"/>
      <c r="D867" s="172"/>
      <c r="E867" s="173"/>
    </row>
    <row r="868" spans="1:5" ht="30">
      <c r="A868" s="174"/>
      <c r="B868" s="177" t="s">
        <v>2291</v>
      </c>
      <c r="C868" s="172"/>
      <c r="D868" s="172"/>
      <c r="E868" s="173"/>
    </row>
    <row r="869" spans="1:5" ht="15">
      <c r="A869" s="178" t="s">
        <v>380</v>
      </c>
      <c r="B869" s="171" t="s">
        <v>24</v>
      </c>
      <c r="C869" s="172"/>
      <c r="D869" s="124" t="s">
        <v>2595</v>
      </c>
      <c r="E869" s="173"/>
    </row>
    <row r="870" spans="1:5" ht="15">
      <c r="A870" s="174"/>
      <c r="B870" s="175" t="s">
        <v>2292</v>
      </c>
      <c r="C870" s="172" t="s">
        <v>2013</v>
      </c>
      <c r="D870" s="172"/>
      <c r="E870" s="173">
        <v>185000</v>
      </c>
    </row>
    <row r="871" spans="1:5" ht="15">
      <c r="A871" s="174"/>
      <c r="B871" s="175" t="s">
        <v>2295</v>
      </c>
      <c r="C871" s="172" t="s">
        <v>2013</v>
      </c>
      <c r="D871" s="172"/>
      <c r="E871" s="173">
        <v>160000</v>
      </c>
    </row>
    <row r="872" spans="1:5" ht="15">
      <c r="A872" s="174"/>
      <c r="B872" s="175" t="s">
        <v>2293</v>
      </c>
      <c r="C872" s="172" t="s">
        <v>2013</v>
      </c>
      <c r="D872" s="172"/>
      <c r="E872" s="173">
        <v>110000</v>
      </c>
    </row>
    <row r="873" spans="1:5" ht="15">
      <c r="A873" s="174"/>
      <c r="B873" s="175" t="s">
        <v>2294</v>
      </c>
      <c r="C873" s="172" t="s">
        <v>2013</v>
      </c>
      <c r="D873" s="172"/>
      <c r="E873" s="173">
        <v>85000</v>
      </c>
    </row>
    <row r="874" spans="1:5" ht="15">
      <c r="A874" s="174" t="s">
        <v>380</v>
      </c>
      <c r="B874" s="171" t="s">
        <v>1643</v>
      </c>
      <c r="C874" s="172"/>
      <c r="D874" s="124" t="s">
        <v>2595</v>
      </c>
      <c r="E874" s="173"/>
    </row>
    <row r="875" spans="1:5" ht="15">
      <c r="A875" s="174"/>
      <c r="B875" s="175" t="s">
        <v>2296</v>
      </c>
      <c r="C875" s="172" t="s">
        <v>2013</v>
      </c>
      <c r="D875" s="172"/>
      <c r="E875" s="173">
        <v>330000</v>
      </c>
    </row>
    <row r="876" spans="1:5" ht="15">
      <c r="A876" s="174"/>
      <c r="B876" s="175" t="s">
        <v>2297</v>
      </c>
      <c r="C876" s="172" t="s">
        <v>2013</v>
      </c>
      <c r="D876" s="172"/>
      <c r="E876" s="173">
        <v>285000</v>
      </c>
    </row>
    <row r="877" spans="1:5" ht="15">
      <c r="A877" s="174"/>
      <c r="B877" s="175" t="s">
        <v>2298</v>
      </c>
      <c r="C877" s="172" t="s">
        <v>2013</v>
      </c>
      <c r="D877" s="172"/>
      <c r="E877" s="173">
        <v>275000</v>
      </c>
    </row>
    <row r="878" spans="1:5" ht="15">
      <c r="A878" s="174"/>
      <c r="B878" s="175" t="s">
        <v>2299</v>
      </c>
      <c r="C878" s="172" t="s">
        <v>2013</v>
      </c>
      <c r="D878" s="172"/>
      <c r="E878" s="173">
        <v>140000</v>
      </c>
    </row>
    <row r="879" spans="1:5" ht="15">
      <c r="A879" s="174" t="s">
        <v>380</v>
      </c>
      <c r="B879" s="171" t="s">
        <v>15</v>
      </c>
      <c r="C879" s="172"/>
      <c r="D879" s="124" t="s">
        <v>2595</v>
      </c>
      <c r="E879" s="173"/>
    </row>
    <row r="880" spans="1:5" ht="15">
      <c r="A880" s="174"/>
      <c r="B880" s="175" t="s">
        <v>2300</v>
      </c>
      <c r="C880" s="172" t="s">
        <v>2013</v>
      </c>
      <c r="D880" s="172"/>
      <c r="E880" s="173">
        <v>310000</v>
      </c>
    </row>
    <row r="881" spans="1:5" ht="15">
      <c r="A881" s="174"/>
      <c r="B881" s="175" t="s">
        <v>2298</v>
      </c>
      <c r="C881" s="172" t="s">
        <v>2013</v>
      </c>
      <c r="D881" s="172"/>
      <c r="E881" s="173">
        <v>200000</v>
      </c>
    </row>
    <row r="882" spans="1:5" ht="15">
      <c r="A882" s="174"/>
      <c r="B882" s="175" t="s">
        <v>2299</v>
      </c>
      <c r="C882" s="172" t="s">
        <v>2013</v>
      </c>
      <c r="D882" s="172"/>
      <c r="E882" s="173">
        <v>120000</v>
      </c>
    </row>
    <row r="883" spans="1:5" ht="15">
      <c r="A883" s="174"/>
      <c r="B883" s="175" t="s">
        <v>2301</v>
      </c>
      <c r="C883" s="172" t="s">
        <v>2013</v>
      </c>
      <c r="D883" s="172"/>
      <c r="E883" s="173">
        <v>105000</v>
      </c>
    </row>
    <row r="884" spans="1:5" ht="15">
      <c r="A884" s="174"/>
      <c r="B884" s="175" t="s">
        <v>2302</v>
      </c>
      <c r="C884" s="172" t="s">
        <v>2013</v>
      </c>
      <c r="D884" s="172"/>
      <c r="E884" s="173">
        <v>60000</v>
      </c>
    </row>
    <row r="885" spans="1:5" ht="15">
      <c r="A885" s="179" t="s">
        <v>380</v>
      </c>
      <c r="B885" s="171" t="s">
        <v>2023</v>
      </c>
      <c r="C885" s="172"/>
      <c r="D885" s="124" t="s">
        <v>2595</v>
      </c>
      <c r="E885" s="173"/>
    </row>
    <row r="886" spans="1:5" ht="15">
      <c r="A886" s="174"/>
      <c r="B886" s="175" t="s">
        <v>2305</v>
      </c>
      <c r="C886" s="172" t="s">
        <v>2013</v>
      </c>
      <c r="D886" s="172"/>
      <c r="E886" s="173">
        <v>185000</v>
      </c>
    </row>
    <row r="887" spans="1:5" ht="15">
      <c r="A887" s="174"/>
      <c r="B887" s="175" t="s">
        <v>2306</v>
      </c>
      <c r="C887" s="172" t="s">
        <v>2013</v>
      </c>
      <c r="D887" s="172"/>
      <c r="E887" s="173">
        <v>195000</v>
      </c>
    </row>
    <row r="888" spans="1:5" ht="15">
      <c r="A888" s="179" t="s">
        <v>380</v>
      </c>
      <c r="B888" s="171" t="s">
        <v>38</v>
      </c>
      <c r="C888" s="172"/>
      <c r="D888" s="124" t="s">
        <v>2595</v>
      </c>
      <c r="E888" s="173"/>
    </row>
    <row r="889" spans="1:5" ht="15">
      <c r="A889" s="174"/>
      <c r="B889" s="175" t="s">
        <v>2303</v>
      </c>
      <c r="C889" s="172" t="s">
        <v>595</v>
      </c>
      <c r="D889" s="172"/>
      <c r="E889" s="173">
        <v>20000</v>
      </c>
    </row>
    <row r="890" spans="1:5" ht="15">
      <c r="A890" s="174"/>
      <c r="B890" s="175" t="s">
        <v>2304</v>
      </c>
      <c r="C890" s="172" t="s">
        <v>595</v>
      </c>
      <c r="D890" s="172"/>
      <c r="E890" s="173">
        <v>25000</v>
      </c>
    </row>
    <row r="891" spans="1:5" ht="21.75" customHeight="1">
      <c r="A891" s="174" t="s">
        <v>2289</v>
      </c>
      <c r="B891" s="295" t="s">
        <v>2597</v>
      </c>
      <c r="C891" s="172"/>
      <c r="D891" s="126" t="s">
        <v>2595</v>
      </c>
      <c r="E891" s="173"/>
    </row>
    <row r="892" spans="1:5" ht="15">
      <c r="A892" s="174"/>
      <c r="B892" s="175" t="s">
        <v>2582</v>
      </c>
      <c r="C892" s="172" t="s">
        <v>2013</v>
      </c>
      <c r="D892" s="172"/>
      <c r="E892" s="173">
        <f>1620000/18</f>
        <v>90000</v>
      </c>
    </row>
    <row r="893" spans="1:5" ht="15">
      <c r="A893" s="174"/>
      <c r="B893" s="175" t="s">
        <v>2583</v>
      </c>
      <c r="C893" s="172" t="s">
        <v>2013</v>
      </c>
      <c r="D893" s="172"/>
      <c r="E893" s="173">
        <f>2513000/18</f>
        <v>139611.11111111112</v>
      </c>
    </row>
    <row r="894" spans="1:5" ht="15">
      <c r="A894" s="174"/>
      <c r="B894" s="175" t="s">
        <v>2584</v>
      </c>
      <c r="C894" s="172" t="s">
        <v>2013</v>
      </c>
      <c r="D894" s="172"/>
      <c r="E894" s="173">
        <f>870000/18</f>
        <v>48333.333333333336</v>
      </c>
    </row>
    <row r="895" spans="1:5" ht="15">
      <c r="A895" s="174"/>
      <c r="B895" s="175" t="s">
        <v>2585</v>
      </c>
      <c r="C895" s="172" t="s">
        <v>2013</v>
      </c>
      <c r="D895" s="172"/>
      <c r="E895" s="173">
        <f>1337000/18</f>
        <v>74277.77777777778</v>
      </c>
    </row>
    <row r="896" spans="1:5" ht="15">
      <c r="A896" s="174"/>
      <c r="B896" s="175" t="s">
        <v>2586</v>
      </c>
      <c r="C896" s="172" t="s">
        <v>2013</v>
      </c>
      <c r="D896" s="172"/>
      <c r="E896" s="173">
        <f>3240000/18</f>
        <v>180000</v>
      </c>
    </row>
    <row r="897" spans="1:5" ht="15">
      <c r="A897" s="174"/>
      <c r="B897" s="175" t="s">
        <v>2587</v>
      </c>
      <c r="C897" s="172" t="s">
        <v>2013</v>
      </c>
      <c r="D897" s="172"/>
      <c r="E897" s="173">
        <f>3563000/18</f>
        <v>197944.44444444444</v>
      </c>
    </row>
    <row r="898" spans="1:5" ht="19.5" customHeight="1">
      <c r="A898" s="174"/>
      <c r="B898" s="175" t="s">
        <v>1643</v>
      </c>
      <c r="C898" s="172" t="s">
        <v>2013</v>
      </c>
      <c r="D898" s="172"/>
      <c r="E898" s="173">
        <f>1980000/18</f>
        <v>110000</v>
      </c>
    </row>
    <row r="899" spans="1:5" ht="15">
      <c r="A899" s="174"/>
      <c r="B899" s="175" t="s">
        <v>2588</v>
      </c>
      <c r="C899" s="172" t="s">
        <v>2013</v>
      </c>
      <c r="D899" s="172"/>
      <c r="E899" s="173">
        <f>3654000/18</f>
        <v>203000</v>
      </c>
    </row>
    <row r="900" spans="1:5" ht="15">
      <c r="A900" s="174"/>
      <c r="B900" s="175" t="s">
        <v>2589</v>
      </c>
      <c r="C900" s="172" t="s">
        <v>2013</v>
      </c>
      <c r="D900" s="172"/>
      <c r="E900" s="173">
        <f>2575000/18</f>
        <v>143055.55555555556</v>
      </c>
    </row>
    <row r="901" spans="1:5" ht="15">
      <c r="A901" s="174"/>
      <c r="B901" s="175" t="s">
        <v>2590</v>
      </c>
      <c r="C901" s="172" t="s">
        <v>2013</v>
      </c>
      <c r="D901" s="172"/>
      <c r="E901" s="173">
        <f>3866000/18</f>
        <v>214777.77777777778</v>
      </c>
    </row>
    <row r="902" spans="1:5" ht="15">
      <c r="A902" s="174"/>
      <c r="B902" s="175" t="s">
        <v>2591</v>
      </c>
      <c r="C902" s="172" t="s">
        <v>2013</v>
      </c>
      <c r="D902" s="172"/>
      <c r="E902" s="173">
        <f>3430000/18</f>
        <v>190555.55555555556</v>
      </c>
    </row>
    <row r="903" spans="1:5" ht="15">
      <c r="A903" s="174"/>
      <c r="B903" s="175" t="s">
        <v>2592</v>
      </c>
      <c r="C903" s="172" t="s">
        <v>2013</v>
      </c>
      <c r="D903" s="172"/>
      <c r="E903" s="173">
        <f>2672000/18</f>
        <v>148444.44444444444</v>
      </c>
    </row>
    <row r="904" spans="1:5" ht="15">
      <c r="A904" s="174"/>
      <c r="B904" s="175" t="s">
        <v>2593</v>
      </c>
      <c r="C904" s="172" t="s">
        <v>2013</v>
      </c>
      <c r="D904" s="172"/>
      <c r="E904" s="173">
        <f>1900000/18</f>
        <v>105555.55555555556</v>
      </c>
    </row>
    <row r="905" spans="1:5" ht="15">
      <c r="A905" s="174"/>
      <c r="B905" s="175" t="s">
        <v>2594</v>
      </c>
      <c r="C905" s="172" t="s">
        <v>2013</v>
      </c>
      <c r="D905" s="172"/>
      <c r="E905" s="173">
        <f>2850000/18</f>
        <v>158333.33333333334</v>
      </c>
    </row>
    <row r="906" spans="1:5" ht="15">
      <c r="A906" s="174" t="s">
        <v>2706</v>
      </c>
      <c r="B906" s="176" t="s">
        <v>2707</v>
      </c>
      <c r="C906" s="172"/>
      <c r="D906" s="172"/>
      <c r="E906" s="173"/>
    </row>
    <row r="907" spans="1:5" ht="20.25" customHeight="1">
      <c r="A907" s="174"/>
      <c r="B907" s="177" t="s">
        <v>2708</v>
      </c>
      <c r="C907" s="172"/>
      <c r="D907" s="172"/>
      <c r="E907" s="173"/>
    </row>
    <row r="908" spans="1:5" ht="15">
      <c r="A908" s="174" t="s">
        <v>380</v>
      </c>
      <c r="B908" s="171" t="s">
        <v>2709</v>
      </c>
      <c r="C908" s="172"/>
      <c r="D908" s="172"/>
      <c r="E908" s="173"/>
    </row>
    <row r="909" spans="1:5" ht="15">
      <c r="A909" s="174"/>
      <c r="B909" s="311" t="s">
        <v>2713</v>
      </c>
      <c r="C909" s="172"/>
      <c r="D909" s="434" t="s">
        <v>2712</v>
      </c>
      <c r="E909" s="173"/>
    </row>
    <row r="910" spans="1:5" ht="15">
      <c r="A910" s="174"/>
      <c r="B910" s="177" t="s">
        <v>2716</v>
      </c>
      <c r="C910" s="172" t="s">
        <v>595</v>
      </c>
      <c r="D910" s="435"/>
      <c r="E910" s="173">
        <v>45454.6</v>
      </c>
    </row>
    <row r="911" spans="1:5" ht="15">
      <c r="A911" s="174"/>
      <c r="B911" s="177" t="s">
        <v>2717</v>
      </c>
      <c r="C911" s="172" t="s">
        <v>595</v>
      </c>
      <c r="D911" s="435"/>
      <c r="E911" s="173">
        <v>28305.772727272728</v>
      </c>
    </row>
    <row r="912" spans="1:5" ht="15">
      <c r="A912" s="174"/>
      <c r="B912" s="311" t="s">
        <v>2714</v>
      </c>
      <c r="C912" s="172"/>
      <c r="D912" s="435"/>
      <c r="E912" s="173"/>
    </row>
    <row r="913" spans="1:5" ht="15">
      <c r="A913" s="174"/>
      <c r="B913" s="177" t="s">
        <v>2716</v>
      </c>
      <c r="C913" s="172" t="s">
        <v>595</v>
      </c>
      <c r="D913" s="435"/>
      <c r="E913" s="173">
        <v>63636.4</v>
      </c>
    </row>
    <row r="914" spans="1:5" ht="18" customHeight="1">
      <c r="A914" s="174"/>
      <c r="B914" s="177" t="s">
        <v>2717</v>
      </c>
      <c r="C914" s="172" t="s">
        <v>595</v>
      </c>
      <c r="D914" s="435"/>
      <c r="E914" s="173">
        <v>47520.681818181816</v>
      </c>
    </row>
    <row r="915" spans="1:5" ht="18" customHeight="1">
      <c r="A915" s="174"/>
      <c r="B915" s="311" t="s">
        <v>2715</v>
      </c>
      <c r="C915" s="172"/>
      <c r="D915" s="435"/>
      <c r="E915" s="173"/>
    </row>
    <row r="916" spans="1:5" ht="15">
      <c r="A916" s="174"/>
      <c r="B916" s="177" t="s">
        <v>2716</v>
      </c>
      <c r="C916" s="172" t="s">
        <v>595</v>
      </c>
      <c r="D916" s="435"/>
      <c r="E916" s="173">
        <v>65454.6</v>
      </c>
    </row>
    <row r="917" spans="1:5" ht="15">
      <c r="A917" s="174"/>
      <c r="B917" s="177" t="s">
        <v>2717</v>
      </c>
      <c r="C917" s="172" t="s">
        <v>595</v>
      </c>
      <c r="D917" s="435"/>
      <c r="E917" s="173">
        <v>49586.77272727273</v>
      </c>
    </row>
    <row r="918" spans="1:5" ht="15">
      <c r="A918" s="174"/>
      <c r="B918" s="311" t="s">
        <v>2721</v>
      </c>
      <c r="C918" s="172"/>
      <c r="D918" s="435"/>
      <c r="E918" s="173"/>
    </row>
    <row r="919" spans="1:5" ht="15">
      <c r="A919" s="174"/>
      <c r="B919" s="177" t="s">
        <v>2718</v>
      </c>
      <c r="C919" s="172" t="s">
        <v>595</v>
      </c>
      <c r="D919" s="435"/>
      <c r="E919" s="173">
        <v>118955.53191489361</v>
      </c>
    </row>
    <row r="920" spans="1:5" ht="15">
      <c r="A920" s="174"/>
      <c r="B920" s="177" t="s">
        <v>2719</v>
      </c>
      <c r="C920" s="172" t="s">
        <v>595</v>
      </c>
      <c r="D920" s="435"/>
      <c r="E920" s="173">
        <v>100478.47368421052</v>
      </c>
    </row>
    <row r="921" spans="1:5" ht="15">
      <c r="A921" s="174"/>
      <c r="B921" s="311" t="s">
        <v>2722</v>
      </c>
      <c r="C921" s="172"/>
      <c r="D921" s="435"/>
      <c r="E921" s="173"/>
    </row>
    <row r="922" spans="1:5" ht="15">
      <c r="A922" s="174"/>
      <c r="B922" s="177" t="s">
        <v>2720</v>
      </c>
      <c r="C922" s="172" t="s">
        <v>595</v>
      </c>
      <c r="D922" s="435"/>
      <c r="E922" s="173">
        <v>177273</v>
      </c>
    </row>
    <row r="923" spans="1:5" ht="15">
      <c r="A923" s="174"/>
      <c r="B923" s="177" t="s">
        <v>2718</v>
      </c>
      <c r="C923" s="172" t="s">
        <v>595</v>
      </c>
      <c r="D923" s="435"/>
      <c r="E923" s="173">
        <v>138297.87234042553</v>
      </c>
    </row>
    <row r="924" spans="1:5" ht="15">
      <c r="A924" s="174"/>
      <c r="B924" s="177" t="s">
        <v>2719</v>
      </c>
      <c r="C924" s="172" t="s">
        <v>595</v>
      </c>
      <c r="D924" s="436"/>
      <c r="E924" s="173">
        <v>121052.63157894737</v>
      </c>
    </row>
    <row r="925" spans="1:5" ht="15">
      <c r="A925" s="174"/>
      <c r="B925" s="311" t="s">
        <v>2723</v>
      </c>
      <c r="C925" s="172"/>
      <c r="D925" s="437" t="s">
        <v>2711</v>
      </c>
      <c r="E925" s="173"/>
    </row>
    <row r="926" spans="1:5" ht="15">
      <c r="A926" s="174"/>
      <c r="B926" s="177" t="s">
        <v>2718</v>
      </c>
      <c r="C926" s="172"/>
      <c r="D926" s="439"/>
      <c r="E926" s="173">
        <v>78336.59574468085</v>
      </c>
    </row>
    <row r="927" spans="1:5" ht="15">
      <c r="A927" s="174"/>
      <c r="B927" s="177" t="s">
        <v>2733</v>
      </c>
      <c r="C927" s="172"/>
      <c r="D927" s="438"/>
      <c r="E927" s="173">
        <v>66580.09523809524</v>
      </c>
    </row>
    <row r="928" spans="1:5" ht="15">
      <c r="A928" s="174"/>
      <c r="B928" s="311" t="s">
        <v>2724</v>
      </c>
      <c r="C928" s="172" t="s">
        <v>595</v>
      </c>
      <c r="D928" s="437" t="s">
        <v>2710</v>
      </c>
      <c r="E928" s="173">
        <v>6590.9</v>
      </c>
    </row>
    <row r="929" spans="1:5" ht="15">
      <c r="A929" s="174"/>
      <c r="B929" s="311" t="s">
        <v>2725</v>
      </c>
      <c r="C929" s="172" t="s">
        <v>595</v>
      </c>
      <c r="D929" s="438"/>
      <c r="E929" s="173">
        <v>2045.45</v>
      </c>
    </row>
    <row r="930" spans="1:5" ht="15">
      <c r="A930" s="174" t="s">
        <v>380</v>
      </c>
      <c r="B930" s="171" t="s">
        <v>2005</v>
      </c>
      <c r="C930" s="172"/>
      <c r="D930" s="172"/>
      <c r="E930" s="173"/>
    </row>
    <row r="931" spans="1:5" ht="15">
      <c r="A931" s="174"/>
      <c r="B931" s="311" t="s">
        <v>2726</v>
      </c>
      <c r="C931" s="172"/>
      <c r="D931" s="434" t="s">
        <v>2712</v>
      </c>
      <c r="E931" s="173"/>
    </row>
    <row r="932" spans="1:5" ht="15">
      <c r="A932" s="174"/>
      <c r="B932" s="177" t="s">
        <v>2716</v>
      </c>
      <c r="C932" s="172" t="s">
        <v>595</v>
      </c>
      <c r="D932" s="435"/>
      <c r="E932" s="173">
        <v>59091</v>
      </c>
    </row>
    <row r="933" spans="1:5" ht="15">
      <c r="A933" s="174"/>
      <c r="B933" s="177" t="s">
        <v>2717</v>
      </c>
      <c r="C933" s="172" t="s">
        <v>595</v>
      </c>
      <c r="D933" s="435"/>
      <c r="E933" s="173">
        <v>54132.22727272727</v>
      </c>
    </row>
    <row r="934" spans="1:5" ht="15">
      <c r="A934" s="174"/>
      <c r="B934" s="311" t="s">
        <v>2727</v>
      </c>
      <c r="C934" s="172"/>
      <c r="D934" s="435"/>
      <c r="E934" s="173"/>
    </row>
    <row r="935" spans="1:5" ht="15">
      <c r="A935" s="174"/>
      <c r="B935" s="177" t="s">
        <v>2720</v>
      </c>
      <c r="C935" s="172" t="s">
        <v>595</v>
      </c>
      <c r="D935" s="435"/>
      <c r="E935" s="173">
        <v>122727</v>
      </c>
    </row>
    <row r="936" spans="1:5" ht="15">
      <c r="A936" s="174"/>
      <c r="B936" s="177" t="s">
        <v>2716</v>
      </c>
      <c r="C936" s="172" t="s">
        <v>595</v>
      </c>
      <c r="D936" s="435"/>
      <c r="E936" s="173">
        <v>80909</v>
      </c>
    </row>
    <row r="937" spans="1:5" ht="15">
      <c r="A937" s="174"/>
      <c r="B937" s="177" t="s">
        <v>2717</v>
      </c>
      <c r="C937" s="172" t="s">
        <v>595</v>
      </c>
      <c r="D937" s="435"/>
      <c r="E937" s="173">
        <v>65702.5</v>
      </c>
    </row>
    <row r="938" spans="1:5" ht="15">
      <c r="A938" s="174"/>
      <c r="B938" s="311" t="s">
        <v>2728</v>
      </c>
      <c r="C938" s="172"/>
      <c r="D938" s="435"/>
      <c r="E938" s="173"/>
    </row>
    <row r="939" spans="1:5" ht="15">
      <c r="A939" s="174"/>
      <c r="B939" s="177" t="s">
        <v>2718</v>
      </c>
      <c r="C939" s="172" t="s">
        <v>595</v>
      </c>
      <c r="D939" s="435"/>
      <c r="E939" s="173">
        <v>126692.55319148935</v>
      </c>
    </row>
    <row r="940" spans="1:5" ht="15">
      <c r="A940" s="174"/>
      <c r="B940" s="177" t="s">
        <v>2719</v>
      </c>
      <c r="C940" s="172" t="s">
        <v>595</v>
      </c>
      <c r="D940" s="435"/>
      <c r="E940" s="173">
        <v>115550.26315789473</v>
      </c>
    </row>
    <row r="941" spans="1:5" ht="15">
      <c r="A941" s="174"/>
      <c r="B941" s="311" t="s">
        <v>2729</v>
      </c>
      <c r="C941" s="172"/>
      <c r="D941" s="435"/>
      <c r="E941" s="173"/>
    </row>
    <row r="942" spans="1:5" ht="15">
      <c r="A942" s="174"/>
      <c r="B942" s="177" t="s">
        <v>2720</v>
      </c>
      <c r="C942" s="172" t="s">
        <v>595</v>
      </c>
      <c r="D942" s="435"/>
      <c r="E942" s="173">
        <v>327273</v>
      </c>
    </row>
    <row r="943" spans="1:5" ht="15">
      <c r="A943" s="174"/>
      <c r="B943" s="177" t="s">
        <v>2734</v>
      </c>
      <c r="C943" s="172" t="s">
        <v>595</v>
      </c>
      <c r="D943" s="436"/>
      <c r="E943" s="173">
        <v>222437.23404255317</v>
      </c>
    </row>
    <row r="944" spans="1:5" ht="15">
      <c r="A944" s="174"/>
      <c r="B944" s="311" t="s">
        <v>2730</v>
      </c>
      <c r="C944" s="172"/>
      <c r="D944" s="434" t="s">
        <v>2711</v>
      </c>
      <c r="E944" s="173"/>
    </row>
    <row r="945" spans="1:5" ht="15">
      <c r="A945" s="174"/>
      <c r="B945" s="177" t="s">
        <v>2718</v>
      </c>
      <c r="C945" s="172" t="s">
        <v>595</v>
      </c>
      <c r="D945" s="435"/>
      <c r="E945" s="173">
        <v>113152.7659574468</v>
      </c>
    </row>
    <row r="946" spans="1:5" ht="15">
      <c r="A946" s="174"/>
      <c r="B946" s="177" t="s">
        <v>2733</v>
      </c>
      <c r="C946" s="172" t="s">
        <v>595</v>
      </c>
      <c r="D946" s="435"/>
      <c r="E946" s="173">
        <v>90476.19047619047</v>
      </c>
    </row>
    <row r="947" spans="1:5" ht="15">
      <c r="A947" s="174"/>
      <c r="B947" s="311" t="s">
        <v>2731</v>
      </c>
      <c r="C947" s="172"/>
      <c r="D947" s="435"/>
      <c r="E947" s="173"/>
    </row>
    <row r="948" spans="1:5" ht="15">
      <c r="A948" s="174"/>
      <c r="B948" s="177" t="s">
        <v>2718</v>
      </c>
      <c r="C948" s="172" t="s">
        <v>595</v>
      </c>
      <c r="D948" s="435"/>
      <c r="E948" s="173">
        <v>147001.914893617</v>
      </c>
    </row>
    <row r="949" spans="1:5" ht="15">
      <c r="A949" s="174"/>
      <c r="B949" s="177" t="s">
        <v>2733</v>
      </c>
      <c r="C949" s="172" t="s">
        <v>595</v>
      </c>
      <c r="D949" s="435"/>
      <c r="E949" s="173">
        <v>114718.61904761905</v>
      </c>
    </row>
    <row r="950" spans="1:5" ht="15">
      <c r="A950" s="174"/>
      <c r="B950" s="311" t="s">
        <v>2732</v>
      </c>
      <c r="C950" s="172"/>
      <c r="D950" s="435"/>
      <c r="E950" s="173"/>
    </row>
    <row r="951" spans="1:5" ht="15">
      <c r="A951" s="174"/>
      <c r="B951" s="177" t="s">
        <v>2718</v>
      </c>
      <c r="C951" s="172" t="s">
        <v>595</v>
      </c>
      <c r="D951" s="435"/>
      <c r="E951" s="173">
        <v>117988.29787234042</v>
      </c>
    </row>
    <row r="952" spans="1:5" ht="15">
      <c r="A952" s="174"/>
      <c r="B952" s="177" t="s">
        <v>2719</v>
      </c>
      <c r="C952" s="172" t="s">
        <v>595</v>
      </c>
      <c r="D952" s="436"/>
      <c r="E952" s="173">
        <v>103588.52631578948</v>
      </c>
    </row>
    <row r="953" spans="1:5" ht="15">
      <c r="A953" s="174"/>
      <c r="B953" s="175" t="s">
        <v>2735</v>
      </c>
      <c r="C953" s="172" t="s">
        <v>595</v>
      </c>
      <c r="D953" s="172" t="s">
        <v>2710</v>
      </c>
      <c r="E953" s="173">
        <v>8977.275</v>
      </c>
    </row>
    <row r="954" spans="1:5" ht="15">
      <c r="A954" s="174" t="s">
        <v>2736</v>
      </c>
      <c r="B954" s="175" t="s">
        <v>2737</v>
      </c>
      <c r="C954" s="172"/>
      <c r="D954" s="172"/>
      <c r="E954" s="173"/>
    </row>
    <row r="955" spans="1:5" ht="15">
      <c r="A955" s="174"/>
      <c r="B955" s="177" t="s">
        <v>2738</v>
      </c>
      <c r="C955" s="172"/>
      <c r="D955" s="172"/>
      <c r="E955" s="173"/>
    </row>
    <row r="956" spans="1:5" ht="15">
      <c r="A956" s="174" t="s">
        <v>380</v>
      </c>
      <c r="B956" s="171" t="s">
        <v>2739</v>
      </c>
      <c r="C956" s="172"/>
      <c r="D956" s="172" t="s">
        <v>2711</v>
      </c>
      <c r="E956" s="173"/>
    </row>
    <row r="957" spans="1:5" ht="15">
      <c r="A957" s="174"/>
      <c r="B957" s="311" t="s">
        <v>2742</v>
      </c>
      <c r="C957" s="172" t="s">
        <v>595</v>
      </c>
      <c r="D957" s="172"/>
      <c r="E957" s="173">
        <f>3113000/18</f>
        <v>172944.44444444444</v>
      </c>
    </row>
    <row r="958" spans="1:5" ht="15">
      <c r="A958" s="174"/>
      <c r="B958" s="311" t="s">
        <v>2743</v>
      </c>
      <c r="C958" s="172" t="s">
        <v>595</v>
      </c>
      <c r="D958" s="172"/>
      <c r="E958" s="173">
        <f>2507000/19</f>
        <v>131947.36842105264</v>
      </c>
    </row>
    <row r="959" spans="1:5" ht="15">
      <c r="A959" s="174"/>
      <c r="B959" s="311" t="s">
        <v>2744</v>
      </c>
      <c r="C959" s="172" t="s">
        <v>595</v>
      </c>
      <c r="D959" s="172"/>
      <c r="E959" s="173">
        <f>2152000/20</f>
        <v>107600</v>
      </c>
    </row>
    <row r="960" spans="1:5" ht="15">
      <c r="A960" s="178" t="s">
        <v>380</v>
      </c>
      <c r="B960" s="171" t="s">
        <v>2709</v>
      </c>
      <c r="C960" s="172"/>
      <c r="D960" s="172" t="s">
        <v>2712</v>
      </c>
      <c r="E960" s="173"/>
    </row>
    <row r="961" spans="1:5" ht="15">
      <c r="A961" s="174"/>
      <c r="B961" s="311" t="s">
        <v>2745</v>
      </c>
      <c r="C961" s="172" t="s">
        <v>595</v>
      </c>
      <c r="D961" s="172"/>
      <c r="E961" s="173">
        <f>4434000/20</f>
        <v>221700</v>
      </c>
    </row>
    <row r="962" spans="1:5" ht="15">
      <c r="A962" s="174"/>
      <c r="B962" s="311" t="s">
        <v>2746</v>
      </c>
      <c r="C962" s="172" t="s">
        <v>595</v>
      </c>
      <c r="D962" s="172"/>
      <c r="E962" s="173">
        <f>1366000/5.1</f>
        <v>267843.137254902</v>
      </c>
    </row>
    <row r="963" spans="1:5" ht="15">
      <c r="A963" s="174"/>
      <c r="B963" s="311" t="s">
        <v>2747</v>
      </c>
      <c r="C963" s="172" t="s">
        <v>595</v>
      </c>
      <c r="D963" s="172"/>
      <c r="E963" s="173">
        <f>3880000/20.4</f>
        <v>190196.07843137256</v>
      </c>
    </row>
    <row r="964" spans="1:5" ht="15">
      <c r="A964" s="174"/>
      <c r="B964" s="311" t="s">
        <v>2750</v>
      </c>
      <c r="C964" s="172" t="s">
        <v>595</v>
      </c>
      <c r="D964" s="172"/>
      <c r="E964" s="173">
        <f>1962000/23.6</f>
        <v>83135.59322033898</v>
      </c>
    </row>
    <row r="965" spans="1:5" ht="15">
      <c r="A965" s="174"/>
      <c r="B965" s="311" t="s">
        <v>2749</v>
      </c>
      <c r="C965" s="172" t="s">
        <v>595</v>
      </c>
      <c r="D965" s="172"/>
      <c r="E965" s="173">
        <f>1638000/23.5</f>
        <v>69702.12765957447</v>
      </c>
    </row>
    <row r="966" spans="1:5" ht="15">
      <c r="A966" s="174"/>
      <c r="B966" s="311" t="s">
        <v>2748</v>
      </c>
      <c r="C966" s="172" t="s">
        <v>595</v>
      </c>
      <c r="D966" s="172"/>
      <c r="E966" s="173">
        <f>922000/24</f>
        <v>38416.666666666664</v>
      </c>
    </row>
    <row r="967" spans="1:5" ht="15">
      <c r="A967" s="178" t="s">
        <v>380</v>
      </c>
      <c r="B967" s="171" t="s">
        <v>2005</v>
      </c>
      <c r="C967" s="172"/>
      <c r="D967" s="172" t="s">
        <v>2712</v>
      </c>
      <c r="E967" s="173"/>
    </row>
    <row r="968" spans="1:5" ht="15">
      <c r="A968" s="174"/>
      <c r="B968" s="311" t="s">
        <v>2760</v>
      </c>
      <c r="C968" s="172" t="s">
        <v>595</v>
      </c>
      <c r="D968" s="172"/>
      <c r="E968" s="173">
        <f>6682000/18</f>
        <v>371222.22222222225</v>
      </c>
    </row>
    <row r="969" spans="1:5" ht="15">
      <c r="A969" s="174"/>
      <c r="B969" s="311" t="s">
        <v>2746</v>
      </c>
      <c r="C969" s="172" t="s">
        <v>595</v>
      </c>
      <c r="D969" s="172"/>
      <c r="E969" s="173">
        <f>2008000/5.1</f>
        <v>393725.49019607843</v>
      </c>
    </row>
    <row r="970" spans="1:5" ht="15">
      <c r="A970" s="174"/>
      <c r="B970" s="311" t="s">
        <v>2759</v>
      </c>
      <c r="C970" s="172" t="s">
        <v>595</v>
      </c>
      <c r="D970" s="172"/>
      <c r="E970" s="173">
        <f>5679000/20.4</f>
        <v>278382.3529411765</v>
      </c>
    </row>
    <row r="971" spans="1:5" ht="15">
      <c r="A971" s="174"/>
      <c r="B971" s="311" t="s">
        <v>2758</v>
      </c>
      <c r="C971" s="172" t="s">
        <v>595</v>
      </c>
      <c r="D971" s="172"/>
      <c r="E971" s="173">
        <f>3078000/23.2</f>
        <v>132672.41379310345</v>
      </c>
    </row>
    <row r="972" spans="1:5" ht="15">
      <c r="A972" s="174"/>
      <c r="B972" s="311" t="s">
        <v>2757</v>
      </c>
      <c r="C972" s="172" t="s">
        <v>595</v>
      </c>
      <c r="D972" s="172"/>
      <c r="E972" s="173">
        <f>2469000/24</f>
        <v>102875</v>
      </c>
    </row>
    <row r="973" spans="1:5" ht="15">
      <c r="A973" s="174" t="s">
        <v>380</v>
      </c>
      <c r="B973" s="171" t="s">
        <v>2023</v>
      </c>
      <c r="C973" s="172"/>
      <c r="D973" s="172" t="s">
        <v>2740</v>
      </c>
      <c r="E973" s="173"/>
    </row>
    <row r="974" spans="1:5" ht="15">
      <c r="A974" s="174"/>
      <c r="B974" s="311" t="s">
        <v>2756</v>
      </c>
      <c r="C974" s="172" t="s">
        <v>595</v>
      </c>
      <c r="D974" s="172"/>
      <c r="E974" s="173">
        <f>4856000/20</f>
        <v>242800</v>
      </c>
    </row>
    <row r="975" spans="1:5" ht="15">
      <c r="A975" s="174"/>
      <c r="B975" s="311" t="s">
        <v>2755</v>
      </c>
      <c r="C975" s="172" t="s">
        <v>595</v>
      </c>
      <c r="D975" s="172"/>
      <c r="E975" s="173">
        <f>3423000/20</f>
        <v>171150</v>
      </c>
    </row>
    <row r="976" spans="1:5" ht="15">
      <c r="A976" s="174"/>
      <c r="B976" s="311" t="s">
        <v>2754</v>
      </c>
      <c r="C976" s="172" t="s">
        <v>595</v>
      </c>
      <c r="D976" s="172"/>
      <c r="E976" s="173">
        <f>3214000/20</f>
        <v>160700</v>
      </c>
    </row>
    <row r="977" spans="1:5" ht="15">
      <c r="A977" s="174" t="s">
        <v>380</v>
      </c>
      <c r="B977" s="171" t="s">
        <v>38</v>
      </c>
      <c r="C977" s="172"/>
      <c r="D977" s="172" t="s">
        <v>2741</v>
      </c>
      <c r="E977" s="173"/>
    </row>
    <row r="978" spans="1:5" ht="15">
      <c r="A978" s="174"/>
      <c r="B978" s="311" t="s">
        <v>2751</v>
      </c>
      <c r="C978" s="172" t="s">
        <v>595</v>
      </c>
      <c r="D978" s="172"/>
      <c r="E978" s="173">
        <f>592000/40</f>
        <v>14800</v>
      </c>
    </row>
    <row r="979" spans="1:5" ht="15">
      <c r="A979" s="174"/>
      <c r="B979" s="311" t="s">
        <v>2752</v>
      </c>
      <c r="C979" s="172" t="s">
        <v>595</v>
      </c>
      <c r="D979" s="172"/>
      <c r="E979" s="173">
        <f>474000/40</f>
        <v>11850</v>
      </c>
    </row>
    <row r="980" spans="1:5" ht="15">
      <c r="A980" s="174"/>
      <c r="B980" s="311" t="s">
        <v>2753</v>
      </c>
      <c r="C980" s="172" t="s">
        <v>595</v>
      </c>
      <c r="D980" s="172"/>
      <c r="E980" s="173">
        <f>326000/40</f>
        <v>8150</v>
      </c>
    </row>
    <row r="981" spans="1:5" ht="15">
      <c r="A981" s="424" t="s">
        <v>1257</v>
      </c>
      <c r="B981" s="424"/>
      <c r="C981" s="424"/>
      <c r="D981" s="424"/>
      <c r="E981" s="424"/>
    </row>
    <row r="982" spans="1:5" ht="15">
      <c r="A982" s="131" t="s">
        <v>1258</v>
      </c>
      <c r="B982" s="307" t="s">
        <v>968</v>
      </c>
      <c r="C982" s="124"/>
      <c r="D982" s="124"/>
      <c r="E982" s="134"/>
    </row>
    <row r="983" spans="1:5" ht="15">
      <c r="A983" s="146"/>
      <c r="B983" s="160" t="s">
        <v>2805</v>
      </c>
      <c r="C983" s="124"/>
      <c r="D983" s="124"/>
      <c r="E983" s="134"/>
    </row>
    <row r="984" spans="1:5" ht="15">
      <c r="A984" s="126" t="s">
        <v>380</v>
      </c>
      <c r="B984" s="127" t="s">
        <v>2804</v>
      </c>
      <c r="C984" s="124"/>
      <c r="D984" s="172" t="s">
        <v>2712</v>
      </c>
      <c r="E984" s="125"/>
    </row>
    <row r="985" spans="1:5" ht="15">
      <c r="A985" s="126"/>
      <c r="B985" s="136" t="s">
        <v>1232</v>
      </c>
      <c r="C985" s="124" t="s">
        <v>516</v>
      </c>
      <c r="D985" s="124"/>
      <c r="E985" s="125">
        <f>143000/1.1</f>
        <v>129999.99999999999</v>
      </c>
    </row>
    <row r="986" spans="1:5" ht="15">
      <c r="A986" s="146"/>
      <c r="B986" s="136" t="s">
        <v>1242</v>
      </c>
      <c r="C986" s="124" t="s">
        <v>516</v>
      </c>
      <c r="D986" s="124"/>
      <c r="E986" s="125">
        <f>150000/1.1</f>
        <v>136363.63636363635</v>
      </c>
    </row>
    <row r="987" spans="1:5" ht="15">
      <c r="A987" s="146"/>
      <c r="B987" s="136" t="s">
        <v>1243</v>
      </c>
      <c r="C987" s="124" t="s">
        <v>516</v>
      </c>
      <c r="D987" s="124"/>
      <c r="E987" s="125">
        <f>289000/1.1</f>
        <v>262727.2727272727</v>
      </c>
    </row>
    <row r="988" spans="1:5" ht="15" customHeight="1">
      <c r="A988" s="146"/>
      <c r="B988" s="136" t="s">
        <v>1233</v>
      </c>
      <c r="C988" s="124" t="s">
        <v>516</v>
      </c>
      <c r="D988" s="124"/>
      <c r="E988" s="125">
        <f>155000/1.1</f>
        <v>140909.0909090909</v>
      </c>
    </row>
    <row r="989" spans="1:5" ht="15">
      <c r="A989" s="146"/>
      <c r="B989" s="136" t="s">
        <v>1234</v>
      </c>
      <c r="C989" s="124" t="s">
        <v>516</v>
      </c>
      <c r="D989" s="124"/>
      <c r="E989" s="125">
        <f>206000/1.1</f>
        <v>187272.72727272726</v>
      </c>
    </row>
    <row r="990" spans="1:5" ht="15">
      <c r="A990" s="146"/>
      <c r="B990" s="136" t="s">
        <v>1244</v>
      </c>
      <c r="C990" s="124" t="s">
        <v>516</v>
      </c>
      <c r="D990" s="124"/>
      <c r="E990" s="125">
        <f>252000/1.1</f>
        <v>229090.90909090906</v>
      </c>
    </row>
    <row r="991" spans="1:5" ht="15">
      <c r="A991" s="146"/>
      <c r="B991" s="136" t="s">
        <v>2806</v>
      </c>
      <c r="C991" s="124" t="s">
        <v>516</v>
      </c>
      <c r="E991" s="125">
        <f>216000/1.1</f>
        <v>196363.63636363635</v>
      </c>
    </row>
    <row r="992" spans="1:5" ht="15">
      <c r="A992" s="146"/>
      <c r="B992" s="136" t="s">
        <v>2807</v>
      </c>
      <c r="C992" s="124" t="s">
        <v>516</v>
      </c>
      <c r="D992" s="124"/>
      <c r="E992" s="125">
        <f>247000/1.1</f>
        <v>224545.45454545453</v>
      </c>
    </row>
    <row r="993" spans="1:5" ht="15">
      <c r="A993" s="146"/>
      <c r="B993" s="136" t="s">
        <v>2808</v>
      </c>
      <c r="C993" s="124" t="s">
        <v>516</v>
      </c>
      <c r="D993" s="124"/>
      <c r="E993" s="125">
        <f>262000/1.1</f>
        <v>238181.81818181818</v>
      </c>
    </row>
    <row r="994" spans="1:5" ht="15">
      <c r="A994" s="146"/>
      <c r="B994" s="136" t="s">
        <v>2811</v>
      </c>
      <c r="C994" s="124" t="s">
        <v>516</v>
      </c>
      <c r="D994" s="124"/>
      <c r="E994" s="125">
        <f>339228/1.1</f>
        <v>308389.0909090909</v>
      </c>
    </row>
    <row r="995" spans="1:5" ht="15">
      <c r="A995" s="146"/>
      <c r="B995" s="136" t="s">
        <v>2810</v>
      </c>
      <c r="C995" s="124" t="s">
        <v>516</v>
      </c>
      <c r="D995" s="124"/>
      <c r="E995" s="125">
        <f>540000/1.1</f>
        <v>490909.0909090909</v>
      </c>
    </row>
    <row r="996" spans="1:5" ht="15">
      <c r="A996" s="146"/>
      <c r="B996" s="136" t="s">
        <v>2809</v>
      </c>
      <c r="C996" s="124" t="s">
        <v>516</v>
      </c>
      <c r="D996" s="124"/>
      <c r="E996" s="125">
        <f>600000/1.1</f>
        <v>545454.5454545454</v>
      </c>
    </row>
    <row r="997" spans="1:5" ht="15">
      <c r="A997" s="126" t="s">
        <v>380</v>
      </c>
      <c r="B997" s="133" t="s">
        <v>969</v>
      </c>
      <c r="C997" s="124"/>
      <c r="D997" s="172" t="s">
        <v>2712</v>
      </c>
      <c r="E997" s="125"/>
    </row>
    <row r="998" spans="1:5" ht="15">
      <c r="A998" s="146"/>
      <c r="B998" s="136" t="s">
        <v>1237</v>
      </c>
      <c r="C998" s="124" t="s">
        <v>516</v>
      </c>
      <c r="D998" s="124"/>
      <c r="E998" s="125">
        <f>113000/1.1</f>
        <v>102727.27272727272</v>
      </c>
    </row>
    <row r="999" spans="1:5" ht="15">
      <c r="A999" s="146"/>
      <c r="B999" s="136" t="s">
        <v>1236</v>
      </c>
      <c r="C999" s="124" t="s">
        <v>516</v>
      </c>
      <c r="D999" s="124"/>
      <c r="E999" s="125">
        <f>131000/1.1</f>
        <v>119090.90909090909</v>
      </c>
    </row>
    <row r="1000" spans="1:5" ht="15">
      <c r="A1000" s="146"/>
      <c r="B1000" s="136" t="s">
        <v>1235</v>
      </c>
      <c r="C1000" s="124" t="s">
        <v>516</v>
      </c>
      <c r="D1000" s="124"/>
      <c r="E1000" s="125">
        <f>139000/1.1</f>
        <v>126363.63636363635</v>
      </c>
    </row>
    <row r="1001" spans="1:5" ht="15">
      <c r="A1001" s="126" t="s">
        <v>380</v>
      </c>
      <c r="B1001" s="133" t="s">
        <v>970</v>
      </c>
      <c r="C1001" s="124"/>
      <c r="D1001" s="172" t="s">
        <v>2712</v>
      </c>
      <c r="E1001" s="125"/>
    </row>
    <row r="1002" spans="1:5" ht="15">
      <c r="A1002" s="126"/>
      <c r="B1002" s="136" t="s">
        <v>1245</v>
      </c>
      <c r="C1002" s="124" t="s">
        <v>516</v>
      </c>
      <c r="D1002" s="124"/>
      <c r="E1002" s="125">
        <f>142000/1.1</f>
        <v>129090.90909090907</v>
      </c>
    </row>
    <row r="1003" spans="1:5" ht="15">
      <c r="A1003" s="146"/>
      <c r="B1003" s="136" t="s">
        <v>1238</v>
      </c>
      <c r="C1003" s="124" t="s">
        <v>516</v>
      </c>
      <c r="D1003" s="124"/>
      <c r="E1003" s="125">
        <f>112000/1.1</f>
        <v>101818.18181818181</v>
      </c>
    </row>
    <row r="1004" spans="1:5" ht="15">
      <c r="A1004" s="146"/>
      <c r="B1004" s="136" t="s">
        <v>1239</v>
      </c>
      <c r="C1004" s="124" t="s">
        <v>516</v>
      </c>
      <c r="D1004" s="124"/>
      <c r="E1004" s="125">
        <v>101818.18181818181</v>
      </c>
    </row>
    <row r="1005" spans="1:5" ht="15">
      <c r="A1005" s="146"/>
      <c r="B1005" s="136" t="s">
        <v>1237</v>
      </c>
      <c r="C1005" s="124" t="s">
        <v>516</v>
      </c>
      <c r="D1005" s="124"/>
      <c r="E1005" s="125">
        <v>102727.27272727272</v>
      </c>
    </row>
    <row r="1006" spans="1:5" ht="15">
      <c r="A1006" s="146"/>
      <c r="B1006" s="136" t="s">
        <v>1240</v>
      </c>
      <c r="C1006" s="124" t="s">
        <v>516</v>
      </c>
      <c r="D1006" s="124"/>
      <c r="E1006" s="125">
        <f>113000/1.1</f>
        <v>102727.27272727272</v>
      </c>
    </row>
    <row r="1007" spans="1:5" ht="15">
      <c r="A1007" s="146"/>
      <c r="B1007" s="136" t="s">
        <v>1246</v>
      </c>
      <c r="C1007" s="124" t="s">
        <v>516</v>
      </c>
      <c r="D1007" s="124"/>
      <c r="E1007" s="125">
        <f>147000/1.1</f>
        <v>133636.36363636362</v>
      </c>
    </row>
    <row r="1008" spans="1:5" ht="15">
      <c r="A1008" s="146"/>
      <c r="B1008" s="136" t="s">
        <v>1241</v>
      </c>
      <c r="C1008" s="124" t="s">
        <v>516</v>
      </c>
      <c r="D1008" s="124"/>
      <c r="E1008" s="125">
        <f>203000/1.1</f>
        <v>184545.45454545453</v>
      </c>
    </row>
    <row r="1009" spans="1:5" ht="15">
      <c r="A1009" s="131" t="s">
        <v>1259</v>
      </c>
      <c r="B1009" s="123" t="s">
        <v>971</v>
      </c>
      <c r="C1009" s="124"/>
      <c r="D1009" s="124"/>
      <c r="E1009" s="125"/>
    </row>
    <row r="1010" spans="1:5" ht="15">
      <c r="A1010" s="180"/>
      <c r="B1010" s="138" t="s">
        <v>972</v>
      </c>
      <c r="C1010" s="124"/>
      <c r="D1010" s="124"/>
      <c r="E1010" s="125"/>
    </row>
    <row r="1011" spans="1:5" ht="15">
      <c r="A1011" s="180" t="s">
        <v>380</v>
      </c>
      <c r="B1011" s="123" t="s">
        <v>973</v>
      </c>
      <c r="C1011" s="124"/>
      <c r="D1011" s="124" t="s">
        <v>2527</v>
      </c>
      <c r="E1011" s="125"/>
    </row>
    <row r="1012" spans="1:5" ht="15">
      <c r="A1012" s="146"/>
      <c r="B1012" s="136" t="s">
        <v>975</v>
      </c>
      <c r="C1012" s="124" t="s">
        <v>516</v>
      </c>
      <c r="D1012" s="124"/>
      <c r="E1012" s="125">
        <v>162727</v>
      </c>
    </row>
    <row r="1013" spans="1:5" ht="15">
      <c r="A1013" s="146"/>
      <c r="B1013" s="136" t="s">
        <v>976</v>
      </c>
      <c r="C1013" s="124" t="s">
        <v>368</v>
      </c>
      <c r="D1013" s="124"/>
      <c r="E1013" s="125">
        <v>36364</v>
      </c>
    </row>
    <row r="1014" spans="1:5" ht="15">
      <c r="A1014" s="146"/>
      <c r="B1014" s="136" t="s">
        <v>974</v>
      </c>
      <c r="C1014" s="124" t="s">
        <v>516</v>
      </c>
      <c r="D1014" s="124"/>
      <c r="E1014" s="125">
        <v>171818</v>
      </c>
    </row>
    <row r="1015" spans="1:5" ht="15">
      <c r="A1015" s="146"/>
      <c r="B1015" s="136" t="s">
        <v>977</v>
      </c>
      <c r="C1015" s="124" t="s">
        <v>368</v>
      </c>
      <c r="D1015" s="124"/>
      <c r="E1015" s="125">
        <v>36364</v>
      </c>
    </row>
    <row r="1016" spans="1:5" ht="15">
      <c r="A1016" s="146"/>
      <c r="B1016" s="136" t="s">
        <v>978</v>
      </c>
      <c r="C1016" s="124" t="s">
        <v>516</v>
      </c>
      <c r="D1016" s="124"/>
      <c r="E1016" s="125">
        <v>162727</v>
      </c>
    </row>
    <row r="1017" spans="1:5" ht="15">
      <c r="A1017" s="146" t="s">
        <v>380</v>
      </c>
      <c r="B1017" s="123" t="s">
        <v>979</v>
      </c>
      <c r="C1017" s="124"/>
      <c r="D1017" s="124" t="s">
        <v>2528</v>
      </c>
      <c r="E1017" s="125"/>
    </row>
    <row r="1018" spans="1:5" ht="15">
      <c r="A1018" s="146"/>
      <c r="B1018" s="136" t="s">
        <v>981</v>
      </c>
      <c r="C1018" s="124" t="s">
        <v>516</v>
      </c>
      <c r="D1018" s="124"/>
      <c r="E1018" s="125">
        <v>213636</v>
      </c>
    </row>
    <row r="1019" spans="1:5" ht="15">
      <c r="A1019" s="146"/>
      <c r="B1019" s="136" t="s">
        <v>980</v>
      </c>
      <c r="C1019" s="124" t="s">
        <v>516</v>
      </c>
      <c r="D1019" s="124"/>
      <c r="E1019" s="125">
        <v>236364</v>
      </c>
    </row>
    <row r="1020" spans="1:5" ht="15">
      <c r="A1020" s="146"/>
      <c r="B1020" s="136" t="s">
        <v>982</v>
      </c>
      <c r="C1020" s="124" t="s">
        <v>516</v>
      </c>
      <c r="D1020" s="124"/>
      <c r="E1020" s="125">
        <v>254545</v>
      </c>
    </row>
    <row r="1021" spans="1:5" ht="15">
      <c r="A1021" s="146"/>
      <c r="B1021" s="136" t="s">
        <v>983</v>
      </c>
      <c r="C1021" s="124" t="s">
        <v>516</v>
      </c>
      <c r="D1021" s="124"/>
      <c r="E1021" s="125">
        <v>268182</v>
      </c>
    </row>
    <row r="1022" spans="1:5" ht="15">
      <c r="A1022" s="146"/>
      <c r="B1022" s="136" t="s">
        <v>984</v>
      </c>
      <c r="C1022" s="124" t="s">
        <v>516</v>
      </c>
      <c r="D1022" s="124"/>
      <c r="E1022" s="125">
        <v>318182</v>
      </c>
    </row>
    <row r="1023" spans="1:5" ht="15">
      <c r="A1023" s="146"/>
      <c r="B1023" s="136" t="s">
        <v>985</v>
      </c>
      <c r="C1023" s="124" t="s">
        <v>516</v>
      </c>
      <c r="D1023" s="124"/>
      <c r="E1023" s="125">
        <v>345455</v>
      </c>
    </row>
    <row r="1024" spans="1:5" ht="15">
      <c r="A1024" s="146"/>
      <c r="B1024" s="136" t="s">
        <v>986</v>
      </c>
      <c r="C1024" s="124" t="s">
        <v>516</v>
      </c>
      <c r="D1024" s="124"/>
      <c r="E1024" s="125">
        <v>213363</v>
      </c>
    </row>
    <row r="1025" spans="1:5" ht="15">
      <c r="A1025" s="146"/>
      <c r="B1025" s="136" t="s">
        <v>987</v>
      </c>
      <c r="C1025" s="124" t="s">
        <v>516</v>
      </c>
      <c r="D1025" s="124"/>
      <c r="E1025" s="125">
        <v>280909</v>
      </c>
    </row>
    <row r="1026" spans="1:5" ht="15">
      <c r="A1026" s="146"/>
      <c r="B1026" s="136" t="s">
        <v>988</v>
      </c>
      <c r="C1026" s="124" t="s">
        <v>516</v>
      </c>
      <c r="D1026" s="124"/>
      <c r="E1026" s="125">
        <v>308182</v>
      </c>
    </row>
    <row r="1027" spans="1:5" ht="15">
      <c r="A1027" s="146"/>
      <c r="B1027" s="136" t="s">
        <v>989</v>
      </c>
      <c r="C1027" s="124" t="s">
        <v>516</v>
      </c>
      <c r="D1027" s="124"/>
      <c r="E1027" s="125">
        <v>389091</v>
      </c>
    </row>
    <row r="1028" spans="1:5" ht="15">
      <c r="A1028" s="131" t="s">
        <v>1365</v>
      </c>
      <c r="B1028" s="123" t="s">
        <v>1366</v>
      </c>
      <c r="C1028" s="124"/>
      <c r="D1028" s="124"/>
      <c r="E1028" s="125"/>
    </row>
    <row r="1029" spans="1:5" ht="15">
      <c r="A1029" s="146"/>
      <c r="B1029" s="138" t="s">
        <v>972</v>
      </c>
      <c r="C1029" s="124"/>
      <c r="D1029" s="124"/>
      <c r="E1029" s="125"/>
    </row>
    <row r="1030" spans="1:5" ht="15">
      <c r="A1030" s="180" t="s">
        <v>380</v>
      </c>
      <c r="B1030" s="123" t="s">
        <v>1367</v>
      </c>
      <c r="C1030" s="124"/>
      <c r="D1030" s="124" t="s">
        <v>2527</v>
      </c>
      <c r="E1030" s="125"/>
    </row>
    <row r="1031" spans="1:5" ht="15">
      <c r="A1031" s="146"/>
      <c r="B1031" s="136" t="s">
        <v>1368</v>
      </c>
      <c r="C1031" s="124" t="s">
        <v>516</v>
      </c>
      <c r="D1031" s="124"/>
      <c r="E1031" s="125">
        <v>200516</v>
      </c>
    </row>
    <row r="1032" spans="1:5" ht="15">
      <c r="A1032" s="146"/>
      <c r="B1032" s="136" t="s">
        <v>1369</v>
      </c>
      <c r="C1032" s="124" t="s">
        <v>516</v>
      </c>
      <c r="D1032" s="124"/>
      <c r="E1032" s="125">
        <v>231476</v>
      </c>
    </row>
    <row r="1033" spans="1:5" ht="15">
      <c r="A1033" s="146"/>
      <c r="B1033" s="136" t="s">
        <v>1370</v>
      </c>
      <c r="C1033" s="124" t="s">
        <v>516</v>
      </c>
      <c r="D1033" s="124"/>
      <c r="E1033" s="125">
        <v>307344</v>
      </c>
    </row>
    <row r="1034" spans="1:5" ht="15">
      <c r="A1034" s="146"/>
      <c r="B1034" s="136" t="s">
        <v>1371</v>
      </c>
      <c r="C1034" s="124" t="s">
        <v>516</v>
      </c>
      <c r="D1034" s="124"/>
      <c r="E1034" s="125">
        <v>403004</v>
      </c>
    </row>
    <row r="1035" spans="1:5" ht="15">
      <c r="A1035" s="146"/>
      <c r="B1035" s="136" t="s">
        <v>1372</v>
      </c>
      <c r="C1035" s="124" t="s">
        <v>516</v>
      </c>
      <c r="D1035" s="124"/>
      <c r="E1035" s="125">
        <v>535524</v>
      </c>
    </row>
    <row r="1036" spans="1:5" ht="15">
      <c r="A1036" s="180" t="s">
        <v>380</v>
      </c>
      <c r="B1036" s="123" t="s">
        <v>1373</v>
      </c>
      <c r="C1036" s="124"/>
      <c r="D1036" s="124" t="s">
        <v>2527</v>
      </c>
      <c r="E1036" s="125"/>
    </row>
    <row r="1037" spans="1:5" ht="15">
      <c r="A1037" s="146"/>
      <c r="B1037" s="136" t="s">
        <v>1374</v>
      </c>
      <c r="C1037" s="124" t="s">
        <v>516</v>
      </c>
      <c r="D1037" s="124"/>
      <c r="E1037" s="125">
        <v>99464</v>
      </c>
    </row>
    <row r="1038" spans="1:5" ht="15">
      <c r="A1038" s="146"/>
      <c r="B1038" s="136" t="s">
        <v>1375</v>
      </c>
      <c r="C1038" s="124" t="s">
        <v>516</v>
      </c>
      <c r="D1038" s="124"/>
      <c r="E1038" s="125">
        <v>140448</v>
      </c>
    </row>
    <row r="1039" spans="1:5" ht="15" customHeight="1">
      <c r="A1039" s="146"/>
      <c r="B1039" s="136" t="s">
        <v>1376</v>
      </c>
      <c r="C1039" s="124" t="s">
        <v>516</v>
      </c>
      <c r="D1039" s="124"/>
      <c r="E1039" s="125">
        <v>139740</v>
      </c>
    </row>
    <row r="1040" spans="1:5" ht="15">
      <c r="A1040" s="180" t="s">
        <v>380</v>
      </c>
      <c r="B1040" s="123" t="s">
        <v>1377</v>
      </c>
      <c r="C1040" s="124"/>
      <c r="D1040" s="124" t="s">
        <v>2527</v>
      </c>
      <c r="E1040" s="125"/>
    </row>
    <row r="1041" spans="1:5" ht="15">
      <c r="A1041" s="146"/>
      <c r="B1041" s="136" t="s">
        <v>1378</v>
      </c>
      <c r="C1041" s="124" t="s">
        <v>516</v>
      </c>
      <c r="D1041" s="124"/>
      <c r="E1041" s="125">
        <v>122241</v>
      </c>
    </row>
    <row r="1042" spans="1:5" ht="15">
      <c r="A1042" s="146"/>
      <c r="B1042" s="136" t="s">
        <v>1379</v>
      </c>
      <c r="C1042" s="124" t="s">
        <v>516</v>
      </c>
      <c r="D1042" s="124"/>
      <c r="E1042" s="125">
        <v>205537</v>
      </c>
    </row>
    <row r="1043" spans="1:5" ht="15">
      <c r="A1043" s="146"/>
      <c r="B1043" s="136" t="s">
        <v>1380</v>
      </c>
      <c r="C1043" s="124" t="s">
        <v>516</v>
      </c>
      <c r="D1043" s="124"/>
      <c r="E1043" s="125">
        <v>275783</v>
      </c>
    </row>
    <row r="1044" spans="1:5" ht="15">
      <c r="A1044" s="146"/>
      <c r="B1044" s="136" t="s">
        <v>1381</v>
      </c>
      <c r="C1044" s="124" t="s">
        <v>516</v>
      </c>
      <c r="D1044" s="124"/>
      <c r="E1044" s="125">
        <v>205537</v>
      </c>
    </row>
    <row r="1045" spans="1:5" ht="15">
      <c r="A1045" s="424" t="s">
        <v>1260</v>
      </c>
      <c r="B1045" s="424"/>
      <c r="C1045" s="424"/>
      <c r="D1045" s="424"/>
      <c r="E1045" s="424"/>
    </row>
    <row r="1046" spans="1:5" ht="15">
      <c r="A1046" s="146"/>
      <c r="B1046" s="307" t="s">
        <v>1962</v>
      </c>
      <c r="C1046" s="124"/>
      <c r="D1046" s="124"/>
      <c r="E1046" s="134"/>
    </row>
    <row r="1047" spans="1:5" ht="15">
      <c r="A1047" s="126" t="s">
        <v>380</v>
      </c>
      <c r="B1047" s="123" t="s">
        <v>165</v>
      </c>
      <c r="C1047" s="124"/>
      <c r="D1047" s="124"/>
      <c r="E1047" s="125"/>
    </row>
    <row r="1048" spans="1:5" ht="15">
      <c r="A1048" s="126"/>
      <c r="B1048" s="136" t="s">
        <v>164</v>
      </c>
      <c r="C1048" s="124" t="s">
        <v>516</v>
      </c>
      <c r="D1048" s="124"/>
      <c r="E1048" s="125">
        <f>1100000/1.1</f>
        <v>999999.9999999999</v>
      </c>
    </row>
    <row r="1049" spans="1:5" ht="15">
      <c r="A1049" s="126"/>
      <c r="B1049" s="136" t="s">
        <v>166</v>
      </c>
      <c r="C1049" s="124" t="s">
        <v>516</v>
      </c>
      <c r="D1049" s="124"/>
      <c r="E1049" s="125">
        <f>550000/1.1</f>
        <v>499999.99999999994</v>
      </c>
    </row>
    <row r="1050" spans="1:5" ht="15">
      <c r="A1050" s="126"/>
      <c r="B1050" s="136" t="s">
        <v>167</v>
      </c>
      <c r="C1050" s="124" t="s">
        <v>516</v>
      </c>
      <c r="D1050" s="124"/>
      <c r="E1050" s="125">
        <f>630000/1.1</f>
        <v>572727.2727272727</v>
      </c>
    </row>
    <row r="1051" spans="1:5" ht="15">
      <c r="A1051" s="126"/>
      <c r="B1051" s="136" t="s">
        <v>168</v>
      </c>
      <c r="C1051" s="124" t="s">
        <v>516</v>
      </c>
      <c r="D1051" s="124"/>
      <c r="E1051" s="125">
        <f>350000/1.1</f>
        <v>318181.8181818182</v>
      </c>
    </row>
    <row r="1052" spans="1:5" ht="15">
      <c r="A1052" s="126"/>
      <c r="B1052" s="136" t="s">
        <v>1314</v>
      </c>
      <c r="C1052" s="124" t="s">
        <v>516</v>
      </c>
      <c r="D1052" s="124"/>
      <c r="E1052" s="125">
        <v>600000</v>
      </c>
    </row>
    <row r="1053" spans="1:5" ht="15">
      <c r="A1053" s="126" t="s">
        <v>380</v>
      </c>
      <c r="B1053" s="123" t="s">
        <v>169</v>
      </c>
      <c r="C1053" s="124"/>
      <c r="D1053" s="124"/>
      <c r="E1053" s="125"/>
    </row>
    <row r="1054" spans="1:5" ht="15">
      <c r="A1054" s="126"/>
      <c r="B1054" s="136" t="s">
        <v>167</v>
      </c>
      <c r="C1054" s="124" t="s">
        <v>516</v>
      </c>
      <c r="D1054" s="124"/>
      <c r="E1054" s="125">
        <f>250000/1.1</f>
        <v>227272.72727272726</v>
      </c>
    </row>
    <row r="1055" spans="1:5" ht="15">
      <c r="A1055" s="126"/>
      <c r="B1055" s="136" t="s">
        <v>170</v>
      </c>
      <c r="C1055" s="124" t="s">
        <v>516</v>
      </c>
      <c r="D1055" s="124"/>
      <c r="E1055" s="125">
        <f>180000/1.1</f>
        <v>163636.36363636362</v>
      </c>
    </row>
    <row r="1056" spans="1:5" ht="15">
      <c r="A1056" s="126" t="s">
        <v>380</v>
      </c>
      <c r="B1056" s="123" t="s">
        <v>1307</v>
      </c>
      <c r="C1056" s="124"/>
      <c r="D1056" s="124"/>
      <c r="E1056" s="125"/>
    </row>
    <row r="1057" spans="1:5" ht="15">
      <c r="A1057" s="126"/>
      <c r="B1057" s="136" t="s">
        <v>1309</v>
      </c>
      <c r="C1057" s="124" t="s">
        <v>516</v>
      </c>
      <c r="D1057" s="124"/>
      <c r="E1057" s="125">
        <v>800000</v>
      </c>
    </row>
    <row r="1058" spans="1:5" ht="15">
      <c r="A1058" s="126"/>
      <c r="B1058" s="136" t="s">
        <v>1308</v>
      </c>
      <c r="C1058" s="124" t="s">
        <v>516</v>
      </c>
      <c r="D1058" s="124"/>
      <c r="E1058" s="125">
        <v>700000</v>
      </c>
    </row>
    <row r="1059" spans="1:5" ht="15.75">
      <c r="A1059" s="126"/>
      <c r="B1059" s="136" t="s">
        <v>1310</v>
      </c>
      <c r="C1059" s="124" t="s">
        <v>516</v>
      </c>
      <c r="D1059" s="124"/>
      <c r="E1059" s="125">
        <v>700000</v>
      </c>
    </row>
    <row r="1060" spans="1:5" ht="15.75" customHeight="1">
      <c r="A1060" s="126"/>
      <c r="B1060" s="136" t="s">
        <v>1313</v>
      </c>
      <c r="C1060" s="124" t="s">
        <v>516</v>
      </c>
      <c r="D1060" s="124"/>
      <c r="E1060" s="125">
        <v>400000</v>
      </c>
    </row>
    <row r="1061" spans="1:5" ht="15.75">
      <c r="A1061" s="126"/>
      <c r="B1061" s="136" t="s">
        <v>1311</v>
      </c>
      <c r="C1061" s="124" t="s">
        <v>516</v>
      </c>
      <c r="D1061" s="124"/>
      <c r="E1061" s="125">
        <v>400000</v>
      </c>
    </row>
    <row r="1062" spans="1:5" ht="15.75">
      <c r="A1062" s="126"/>
      <c r="B1062" s="136" t="s">
        <v>1312</v>
      </c>
      <c r="C1062" s="124" t="s">
        <v>516</v>
      </c>
      <c r="D1062" s="124"/>
      <c r="E1062" s="125">
        <v>400000</v>
      </c>
    </row>
    <row r="1063" spans="1:5" ht="15.75">
      <c r="A1063" s="126" t="s">
        <v>380</v>
      </c>
      <c r="B1063" s="136" t="s">
        <v>1315</v>
      </c>
      <c r="C1063" s="124" t="s">
        <v>516</v>
      </c>
      <c r="D1063" s="124"/>
      <c r="E1063" s="125">
        <v>1200000</v>
      </c>
    </row>
    <row r="1064" spans="1:5" ht="15.75">
      <c r="A1064" s="126" t="s">
        <v>380</v>
      </c>
      <c r="B1064" s="123" t="s">
        <v>171</v>
      </c>
      <c r="C1064" s="124"/>
      <c r="D1064" s="124"/>
      <c r="E1064" s="125"/>
    </row>
    <row r="1065" spans="1:5" ht="15.75">
      <c r="A1065" s="126"/>
      <c r="B1065" s="136" t="s">
        <v>172</v>
      </c>
      <c r="C1065" s="124" t="s">
        <v>516</v>
      </c>
      <c r="D1065" s="124"/>
      <c r="E1065" s="125">
        <f>630000/1.1</f>
        <v>572727.2727272727</v>
      </c>
    </row>
    <row r="1066" spans="1:5" ht="15.75">
      <c r="A1066" s="126"/>
      <c r="B1066" s="451" t="s">
        <v>1963</v>
      </c>
      <c r="C1066" s="451"/>
      <c r="D1066" s="451"/>
      <c r="E1066" s="451"/>
    </row>
    <row r="1067" spans="1:5" ht="15.75">
      <c r="A1067" s="131" t="s">
        <v>1322</v>
      </c>
      <c r="B1067" s="164" t="s">
        <v>1321</v>
      </c>
      <c r="C1067" s="306"/>
      <c r="D1067" s="306"/>
      <c r="E1067" s="306"/>
    </row>
    <row r="1068" spans="1:5" ht="15.75">
      <c r="A1068" s="126"/>
      <c r="B1068" s="138" t="s">
        <v>972</v>
      </c>
      <c r="C1068" s="306"/>
      <c r="D1068" s="306"/>
      <c r="E1068" s="306"/>
    </row>
    <row r="1069" spans="1:5" ht="15.75">
      <c r="A1069" s="126" t="s">
        <v>2529</v>
      </c>
      <c r="B1069" s="306" t="s">
        <v>2530</v>
      </c>
      <c r="C1069" s="306"/>
      <c r="D1069" s="306"/>
      <c r="E1069" s="306"/>
    </row>
    <row r="1070" spans="1:5" ht="15.75">
      <c r="A1070" s="126" t="s">
        <v>380</v>
      </c>
      <c r="B1070" s="306" t="s">
        <v>2531</v>
      </c>
      <c r="C1070" s="306"/>
      <c r="D1070" s="124" t="s">
        <v>2533</v>
      </c>
      <c r="E1070" s="306"/>
    </row>
    <row r="1071" spans="1:5" ht="30">
      <c r="A1071" s="126"/>
      <c r="B1071" s="165" t="s">
        <v>1323</v>
      </c>
      <c r="C1071" s="181" t="s">
        <v>516</v>
      </c>
      <c r="D1071" s="181"/>
      <c r="E1071" s="125">
        <f>79000/1.1</f>
        <v>71818.18181818181</v>
      </c>
    </row>
    <row r="1072" spans="1:5" ht="30">
      <c r="A1072" s="126"/>
      <c r="B1072" s="165" t="s">
        <v>1324</v>
      </c>
      <c r="C1072" s="124" t="s">
        <v>516</v>
      </c>
      <c r="D1072" s="124"/>
      <c r="E1072" s="125">
        <f>88000/1.1</f>
        <v>80000</v>
      </c>
    </row>
    <row r="1073" spans="1:5" ht="30">
      <c r="A1073" s="126"/>
      <c r="B1073" s="165" t="s">
        <v>1325</v>
      </c>
      <c r="C1073" s="124" t="s">
        <v>516</v>
      </c>
      <c r="D1073" s="124"/>
      <c r="E1073" s="125">
        <f>102000/1.1</f>
        <v>92727.27272727272</v>
      </c>
    </row>
    <row r="1074" spans="1:5" ht="30">
      <c r="A1074" s="126"/>
      <c r="B1074" s="165" t="s">
        <v>1326</v>
      </c>
      <c r="C1074" s="124" t="s">
        <v>516</v>
      </c>
      <c r="D1074" s="124"/>
      <c r="E1074" s="125">
        <f>88000/1.1</f>
        <v>80000</v>
      </c>
    </row>
    <row r="1075" spans="1:5" ht="14.25" customHeight="1">
      <c r="A1075" s="126"/>
      <c r="B1075" s="165" t="s">
        <v>1327</v>
      </c>
      <c r="C1075" s="124" t="s">
        <v>516</v>
      </c>
      <c r="D1075" s="124"/>
      <c r="E1075" s="125">
        <f>98000/1.1</f>
        <v>89090.90909090909</v>
      </c>
    </row>
    <row r="1076" spans="1:5" ht="30">
      <c r="A1076" s="126"/>
      <c r="B1076" s="165" t="s">
        <v>1328</v>
      </c>
      <c r="C1076" s="124" t="s">
        <v>516</v>
      </c>
      <c r="D1076" s="124"/>
      <c r="E1076" s="125">
        <f>105000/1.1</f>
        <v>95454.54545454544</v>
      </c>
    </row>
    <row r="1077" spans="1:5" ht="30">
      <c r="A1077" s="126"/>
      <c r="B1077" s="165" t="s">
        <v>1329</v>
      </c>
      <c r="C1077" s="124" t="s">
        <v>516</v>
      </c>
      <c r="D1077" s="124"/>
      <c r="E1077" s="125">
        <f>115000/1.1</f>
        <v>104545.45454545454</v>
      </c>
    </row>
    <row r="1078" spans="1:5" ht="30" customHeight="1">
      <c r="A1078" s="126" t="s">
        <v>380</v>
      </c>
      <c r="B1078" s="306" t="s">
        <v>2532</v>
      </c>
      <c r="C1078" s="306"/>
      <c r="D1078" s="124" t="s">
        <v>2533</v>
      </c>
      <c r="E1078" s="125"/>
    </row>
    <row r="1079" spans="1:5" ht="30" customHeight="1">
      <c r="A1079" s="126"/>
      <c r="B1079" s="165" t="s">
        <v>1323</v>
      </c>
      <c r="C1079" s="181" t="s">
        <v>516</v>
      </c>
      <c r="D1079" s="181"/>
      <c r="E1079" s="125">
        <f>154000/1.1</f>
        <v>140000</v>
      </c>
    </row>
    <row r="1080" spans="1:5" ht="30" customHeight="1">
      <c r="A1080" s="126"/>
      <c r="B1080" s="165" t="s">
        <v>1324</v>
      </c>
      <c r="C1080" s="124" t="s">
        <v>516</v>
      </c>
      <c r="D1080" s="124"/>
      <c r="E1080" s="125">
        <f>163000/1.1</f>
        <v>148181.81818181818</v>
      </c>
    </row>
    <row r="1081" spans="1:5" ht="30" customHeight="1">
      <c r="A1081" s="126"/>
      <c r="B1081" s="165" t="s">
        <v>1325</v>
      </c>
      <c r="C1081" s="124" t="s">
        <v>516</v>
      </c>
      <c r="D1081" s="124"/>
      <c r="E1081" s="125">
        <f>177000/1.1</f>
        <v>160909.09090909088</v>
      </c>
    </row>
    <row r="1082" spans="1:5" ht="30" customHeight="1">
      <c r="A1082" s="126"/>
      <c r="B1082" s="165" t="s">
        <v>1326</v>
      </c>
      <c r="C1082" s="124" t="s">
        <v>516</v>
      </c>
      <c r="D1082" s="124"/>
      <c r="E1082" s="125">
        <f>163000/1.1</f>
        <v>148181.81818181818</v>
      </c>
    </row>
    <row r="1083" spans="1:5" ht="30" customHeight="1">
      <c r="A1083" s="126"/>
      <c r="B1083" s="165" t="s">
        <v>1327</v>
      </c>
      <c r="C1083" s="124" t="s">
        <v>516</v>
      </c>
      <c r="D1083" s="124"/>
      <c r="E1083" s="125">
        <f>173000/1.1</f>
        <v>157272.72727272726</v>
      </c>
    </row>
    <row r="1084" spans="1:5" ht="30" customHeight="1">
      <c r="A1084" s="126"/>
      <c r="B1084" s="165" t="s">
        <v>1328</v>
      </c>
      <c r="C1084" s="124" t="s">
        <v>516</v>
      </c>
      <c r="D1084" s="124"/>
      <c r="E1084" s="125">
        <f>180000/1.1</f>
        <v>163636.36363636362</v>
      </c>
    </row>
    <row r="1085" spans="1:5" ht="30">
      <c r="A1085" s="126"/>
      <c r="B1085" s="165" t="s">
        <v>1329</v>
      </c>
      <c r="C1085" s="124" t="s">
        <v>516</v>
      </c>
      <c r="D1085" s="124"/>
      <c r="E1085" s="125">
        <f>190000/1.1</f>
        <v>172727.2727272727</v>
      </c>
    </row>
    <row r="1086" spans="1:5" ht="23.25" customHeight="1">
      <c r="A1086" s="424" t="s">
        <v>1330</v>
      </c>
      <c r="B1086" s="424"/>
      <c r="C1086" s="424"/>
      <c r="D1086" s="424"/>
      <c r="E1086" s="424"/>
    </row>
    <row r="1087" spans="1:5" ht="15.75" customHeight="1">
      <c r="A1087" s="131" t="s">
        <v>1263</v>
      </c>
      <c r="B1087" s="307" t="s">
        <v>1964</v>
      </c>
      <c r="C1087" s="141"/>
      <c r="D1087" s="141"/>
      <c r="E1087" s="182"/>
    </row>
    <row r="1088" spans="1:5" ht="15" customHeight="1">
      <c r="A1088" s="131" t="s">
        <v>380</v>
      </c>
      <c r="B1088" s="127" t="s">
        <v>1907</v>
      </c>
      <c r="C1088" s="183"/>
      <c r="D1088" s="124" t="s">
        <v>2534</v>
      </c>
      <c r="E1088" s="184"/>
    </row>
    <row r="1089" spans="1:5" ht="15.75" customHeight="1">
      <c r="A1089" s="126"/>
      <c r="B1089" s="185" t="s">
        <v>1908</v>
      </c>
      <c r="C1089" s="181" t="s">
        <v>379</v>
      </c>
      <c r="D1089" s="181"/>
      <c r="E1089" s="186">
        <v>3054.5454545454545</v>
      </c>
    </row>
    <row r="1090" spans="1:5" ht="15.75" customHeight="1">
      <c r="A1090" s="126"/>
      <c r="B1090" s="185" t="s">
        <v>1909</v>
      </c>
      <c r="C1090" s="181" t="s">
        <v>379</v>
      </c>
      <c r="D1090" s="181"/>
      <c r="E1090" s="186">
        <v>3909.0909090909086</v>
      </c>
    </row>
    <row r="1091" spans="1:5" ht="15.75" customHeight="1">
      <c r="A1091" s="126"/>
      <c r="B1091" s="185" t="s">
        <v>1910</v>
      </c>
      <c r="C1091" s="181" t="s">
        <v>379</v>
      </c>
      <c r="D1091" s="181"/>
      <c r="E1091" s="186">
        <v>5781.818181818181</v>
      </c>
    </row>
    <row r="1092" spans="1:5" ht="15.75" customHeight="1">
      <c r="A1092" s="126"/>
      <c r="B1092" s="185" t="s">
        <v>1911</v>
      </c>
      <c r="C1092" s="181" t="s">
        <v>379</v>
      </c>
      <c r="D1092" s="181"/>
      <c r="E1092" s="186">
        <v>9390.90909090909</v>
      </c>
    </row>
    <row r="1093" spans="1:5" ht="15.75" customHeight="1">
      <c r="A1093" s="126"/>
      <c r="B1093" s="185" t="s">
        <v>1912</v>
      </c>
      <c r="C1093" s="181" t="s">
        <v>379</v>
      </c>
      <c r="D1093" s="181"/>
      <c r="E1093" s="186">
        <v>14409.090909090908</v>
      </c>
    </row>
    <row r="1094" spans="1:5" ht="15.75" customHeight="1">
      <c r="A1094" s="126"/>
      <c r="B1094" s="185" t="s">
        <v>1913</v>
      </c>
      <c r="C1094" s="181" t="s">
        <v>379</v>
      </c>
      <c r="D1094" s="181"/>
      <c r="E1094" s="186">
        <v>21409.090909090908</v>
      </c>
    </row>
    <row r="1095" spans="1:5" ht="15.75">
      <c r="A1095" s="126"/>
      <c r="B1095" s="185" t="s">
        <v>1914</v>
      </c>
      <c r="C1095" s="181"/>
      <c r="D1095" s="181"/>
      <c r="E1095" s="186">
        <v>35636.36363636363</v>
      </c>
    </row>
    <row r="1096" spans="1:5" ht="30">
      <c r="A1096" s="131" t="s">
        <v>380</v>
      </c>
      <c r="B1096" s="127" t="s">
        <v>1382</v>
      </c>
      <c r="C1096" s="183"/>
      <c r="D1096" s="310" t="s">
        <v>2534</v>
      </c>
      <c r="E1096" s="187"/>
    </row>
    <row r="1097" spans="1:5" ht="15.75">
      <c r="A1097" s="126"/>
      <c r="B1097" s="185" t="s">
        <v>1925</v>
      </c>
      <c r="C1097" s="181" t="s">
        <v>379</v>
      </c>
      <c r="D1097" s="181"/>
      <c r="E1097" s="186">
        <v>6999.999999999999</v>
      </c>
    </row>
    <row r="1098" spans="1:5" ht="15.75">
      <c r="A1098" s="126"/>
      <c r="B1098" s="185" t="s">
        <v>1924</v>
      </c>
      <c r="C1098" s="181" t="s">
        <v>379</v>
      </c>
      <c r="D1098" s="181"/>
      <c r="E1098" s="186">
        <v>8963.636363636362</v>
      </c>
    </row>
    <row r="1099" spans="1:5" ht="15.75">
      <c r="A1099" s="126"/>
      <c r="B1099" s="185" t="s">
        <v>1923</v>
      </c>
      <c r="C1099" s="181" t="s">
        <v>379</v>
      </c>
      <c r="D1099" s="181"/>
      <c r="E1099" s="186">
        <v>12318.181818181818</v>
      </c>
    </row>
    <row r="1100" spans="1:5" ht="15.75">
      <c r="A1100" s="126"/>
      <c r="B1100" s="185" t="s">
        <v>1922</v>
      </c>
      <c r="C1100" s="181" t="s">
        <v>379</v>
      </c>
      <c r="D1100" s="181"/>
      <c r="E1100" s="186">
        <v>20272.727272727272</v>
      </c>
    </row>
    <row r="1101" spans="1:5" ht="15.75">
      <c r="A1101" s="126"/>
      <c r="B1101" s="185" t="s">
        <v>1921</v>
      </c>
      <c r="C1101" s="181"/>
      <c r="D1101" s="181"/>
      <c r="E1101" s="186">
        <v>30454.545454545452</v>
      </c>
    </row>
    <row r="1102" spans="1:5" ht="15.75">
      <c r="A1102" s="126"/>
      <c r="B1102" s="185" t="s">
        <v>1920</v>
      </c>
      <c r="C1102" s="181"/>
      <c r="D1102" s="181"/>
      <c r="E1102" s="186">
        <v>45090.90909090909</v>
      </c>
    </row>
    <row r="1103" spans="1:5" ht="15.75">
      <c r="A1103" s="126"/>
      <c r="B1103" s="185" t="s">
        <v>1919</v>
      </c>
      <c r="C1103" s="181"/>
      <c r="D1103" s="181"/>
      <c r="E1103" s="186">
        <v>10363.636363636362</v>
      </c>
    </row>
    <row r="1104" spans="1:5" ht="30">
      <c r="A1104" s="126" t="s">
        <v>380</v>
      </c>
      <c r="B1104" s="127" t="s">
        <v>1383</v>
      </c>
      <c r="C1104" s="181"/>
      <c r="D1104" s="310" t="s">
        <v>2534</v>
      </c>
      <c r="E1104" s="188"/>
    </row>
    <row r="1105" spans="1:5" ht="15.75">
      <c r="A1105" s="126"/>
      <c r="B1105" s="127" t="s">
        <v>1803</v>
      </c>
      <c r="C1105" s="181"/>
      <c r="D1105" s="181"/>
      <c r="E1105" s="188"/>
    </row>
    <row r="1106" spans="1:5" ht="15.75">
      <c r="A1106" s="126"/>
      <c r="B1106" s="185" t="s">
        <v>1804</v>
      </c>
      <c r="C1106" s="181" t="s">
        <v>379</v>
      </c>
      <c r="D1106" s="181"/>
      <c r="E1106" s="186">
        <v>7972.727272727272</v>
      </c>
    </row>
    <row r="1107" spans="1:5" ht="15.75">
      <c r="A1107" s="126"/>
      <c r="B1107" s="185" t="s">
        <v>1805</v>
      </c>
      <c r="C1107" s="181" t="s">
        <v>379</v>
      </c>
      <c r="D1107" s="181"/>
      <c r="E1107" s="186">
        <v>10309.090909090908</v>
      </c>
    </row>
    <row r="1108" spans="1:5" ht="15.75">
      <c r="A1108" s="126"/>
      <c r="B1108" s="185" t="s">
        <v>1806</v>
      </c>
      <c r="C1108" s="181" t="s">
        <v>379</v>
      </c>
      <c r="D1108" s="181"/>
      <c r="E1108" s="186">
        <v>13718.181818181816</v>
      </c>
    </row>
    <row r="1109" spans="1:5" ht="15.75">
      <c r="A1109" s="126"/>
      <c r="B1109" s="185" t="s">
        <v>1807</v>
      </c>
      <c r="C1109" s="181" t="s">
        <v>379</v>
      </c>
      <c r="D1109" s="181"/>
      <c r="E1109" s="186">
        <v>22636.363636363636</v>
      </c>
    </row>
    <row r="1110" spans="1:5" ht="15.75">
      <c r="A1110" s="126"/>
      <c r="B1110" s="185" t="s">
        <v>1808</v>
      </c>
      <c r="C1110" s="181" t="s">
        <v>379</v>
      </c>
      <c r="D1110" s="181"/>
      <c r="E1110" s="186">
        <v>33272.72727272727</v>
      </c>
    </row>
    <row r="1111" spans="1:5" ht="15.75">
      <c r="A1111" s="126"/>
      <c r="B1111" s="185" t="s">
        <v>1809</v>
      </c>
      <c r="C1111" s="181" t="s">
        <v>379</v>
      </c>
      <c r="D1111" s="181"/>
      <c r="E1111" s="186">
        <v>49181.81818181818</v>
      </c>
    </row>
    <row r="1112" spans="1:5" ht="15.75">
      <c r="A1112" s="126"/>
      <c r="B1112" s="127" t="s">
        <v>1810</v>
      </c>
      <c r="C1112" s="181"/>
      <c r="D1112" s="181"/>
      <c r="E1112" s="186"/>
    </row>
    <row r="1113" spans="1:5" ht="15.75">
      <c r="A1113" s="126"/>
      <c r="B1113" s="185" t="s">
        <v>1811</v>
      </c>
      <c r="C1113" s="181" t="s">
        <v>379</v>
      </c>
      <c r="D1113" s="181"/>
      <c r="E1113" s="186">
        <v>11163.636363636362</v>
      </c>
    </row>
    <row r="1114" spans="1:5" ht="15.75">
      <c r="A1114" s="126"/>
      <c r="B1114" s="185" t="s">
        <v>1812</v>
      </c>
      <c r="C1114" s="181" t="s">
        <v>379</v>
      </c>
      <c r="D1114" s="181"/>
      <c r="E1114" s="186">
        <v>14454.545454545454</v>
      </c>
    </row>
    <row r="1115" spans="1:5" ht="15.75">
      <c r="A1115" s="126"/>
      <c r="B1115" s="185" t="s">
        <v>1813</v>
      </c>
      <c r="C1115" s="181" t="s">
        <v>379</v>
      </c>
      <c r="D1115" s="181"/>
      <c r="E1115" s="186">
        <v>19354.545454545452</v>
      </c>
    </row>
    <row r="1116" spans="1:5" ht="15.75">
      <c r="A1116" s="126"/>
      <c r="B1116" s="185" t="s">
        <v>1814</v>
      </c>
      <c r="C1116" s="181" t="s">
        <v>379</v>
      </c>
      <c r="D1116" s="181"/>
      <c r="E1116" s="186">
        <v>31363.63636363636</v>
      </c>
    </row>
    <row r="1117" spans="1:5" ht="15.75">
      <c r="A1117" s="126"/>
      <c r="B1117" s="185" t="s">
        <v>1815</v>
      </c>
      <c r="C1117" s="181" t="s">
        <v>379</v>
      </c>
      <c r="D1117" s="181"/>
      <c r="E1117" s="186">
        <v>47436.36363636363</v>
      </c>
    </row>
    <row r="1118" spans="1:5" ht="15.75">
      <c r="A1118" s="126"/>
      <c r="B1118" s="185" t="s">
        <v>1816</v>
      </c>
      <c r="C1118" s="181" t="s">
        <v>379</v>
      </c>
      <c r="D1118" s="181"/>
      <c r="E1118" s="186">
        <v>70936.36363636363</v>
      </c>
    </row>
    <row r="1119" spans="1:5" ht="15.75">
      <c r="A1119" s="126"/>
      <c r="B1119" s="127" t="s">
        <v>1817</v>
      </c>
      <c r="C1119" s="181"/>
      <c r="D1119" s="181"/>
      <c r="E1119" s="186"/>
    </row>
    <row r="1120" spans="1:5" ht="15.75">
      <c r="A1120" s="126"/>
      <c r="B1120" s="185" t="s">
        <v>1818</v>
      </c>
      <c r="C1120" s="181" t="s">
        <v>379</v>
      </c>
      <c r="D1120" s="181"/>
      <c r="E1120" s="186">
        <v>14681.81818181818</v>
      </c>
    </row>
    <row r="1121" spans="1:5" ht="15.75">
      <c r="A1121" s="126"/>
      <c r="B1121" s="185" t="s">
        <v>1819</v>
      </c>
      <c r="C1121" s="181" t="s">
        <v>379</v>
      </c>
      <c r="D1121" s="181"/>
      <c r="E1121" s="186">
        <v>18227.272727272724</v>
      </c>
    </row>
    <row r="1122" spans="1:5" ht="15.75">
      <c r="A1122" s="126"/>
      <c r="B1122" s="185" t="s">
        <v>1820</v>
      </c>
      <c r="C1122" s="181" t="s">
        <v>379</v>
      </c>
      <c r="D1122" s="181"/>
      <c r="E1122" s="186">
        <v>25272.727272727272</v>
      </c>
    </row>
    <row r="1123" spans="1:5" ht="15.75">
      <c r="A1123" s="126"/>
      <c r="B1123" s="185" t="s">
        <v>1821</v>
      </c>
      <c r="C1123" s="181" t="s">
        <v>379</v>
      </c>
      <c r="D1123" s="181"/>
      <c r="E1123" s="186">
        <v>40727.27272727272</v>
      </c>
    </row>
    <row r="1124" spans="1:5" ht="15.75">
      <c r="A1124" s="126"/>
      <c r="B1124" s="185" t="s">
        <v>1822</v>
      </c>
      <c r="C1124" s="181" t="s">
        <v>379</v>
      </c>
      <c r="D1124" s="181"/>
      <c r="E1124" s="186">
        <v>62109.090909090904</v>
      </c>
    </row>
    <row r="1125" spans="1:5" ht="15.75">
      <c r="A1125" s="126"/>
      <c r="B1125" s="185" t="s">
        <v>1823</v>
      </c>
      <c r="C1125" s="181" t="s">
        <v>379</v>
      </c>
      <c r="D1125" s="181"/>
      <c r="E1125" s="186">
        <v>92181.81818181818</v>
      </c>
    </row>
    <row r="1126" spans="1:5" ht="30">
      <c r="A1126" s="126" t="s">
        <v>380</v>
      </c>
      <c r="B1126" s="127" t="s">
        <v>1384</v>
      </c>
      <c r="C1126" s="181"/>
      <c r="D1126" s="310" t="s">
        <v>2534</v>
      </c>
      <c r="E1126" s="188"/>
    </row>
    <row r="1127" spans="1:5" ht="15.75">
      <c r="A1127" s="126"/>
      <c r="B1127" s="185" t="s">
        <v>1915</v>
      </c>
      <c r="C1127" s="181" t="s">
        <v>379</v>
      </c>
      <c r="D1127" s="181"/>
      <c r="E1127" s="186">
        <v>12545.454545454544</v>
      </c>
    </row>
    <row r="1128" spans="1:5" ht="15.75">
      <c r="A1128" s="126"/>
      <c r="B1128" s="185" t="s">
        <v>1917</v>
      </c>
      <c r="C1128" s="181" t="s">
        <v>379</v>
      </c>
      <c r="D1128" s="181"/>
      <c r="E1128" s="186">
        <v>20727.272727272724</v>
      </c>
    </row>
    <row r="1129" spans="1:5" ht="15.75">
      <c r="A1129" s="126"/>
      <c r="B1129" s="185" t="s">
        <v>1916</v>
      </c>
      <c r="C1129" s="181" t="s">
        <v>379</v>
      </c>
      <c r="D1129" s="181"/>
      <c r="E1129" s="186">
        <v>30818.181818181816</v>
      </c>
    </row>
    <row r="1130" spans="1:5" ht="30">
      <c r="A1130" s="126" t="s">
        <v>380</v>
      </c>
      <c r="B1130" s="189" t="s">
        <v>1385</v>
      </c>
      <c r="C1130" s="181"/>
      <c r="D1130" s="310" t="s">
        <v>2534</v>
      </c>
      <c r="E1130" s="188"/>
    </row>
    <row r="1131" spans="1:5" ht="15.75">
      <c r="A1131" s="126"/>
      <c r="B1131" s="185" t="s">
        <v>1918</v>
      </c>
      <c r="C1131" s="181" t="s">
        <v>379</v>
      </c>
      <c r="D1131" s="181"/>
      <c r="E1131" s="188">
        <v>6000</v>
      </c>
    </row>
    <row r="1132" spans="1:5" ht="18" customHeight="1">
      <c r="A1132" s="126" t="s">
        <v>380</v>
      </c>
      <c r="B1132" s="189" t="s">
        <v>1824</v>
      </c>
      <c r="C1132" s="181"/>
      <c r="D1132" s="310" t="s">
        <v>2534</v>
      </c>
      <c r="E1132" s="190"/>
    </row>
    <row r="1133" spans="1:5" ht="15.75">
      <c r="A1133" s="126"/>
      <c r="B1133" s="185" t="s">
        <v>1825</v>
      </c>
      <c r="C1133" s="181" t="s">
        <v>379</v>
      </c>
      <c r="D1133" s="181"/>
      <c r="E1133" s="186">
        <v>5663.636363636363</v>
      </c>
    </row>
    <row r="1134" spans="1:5" ht="15.75">
      <c r="A1134" s="126"/>
      <c r="B1134" s="185" t="s">
        <v>1826</v>
      </c>
      <c r="C1134" s="181" t="s">
        <v>379</v>
      </c>
      <c r="D1134" s="181"/>
      <c r="E1134" s="186">
        <v>9227.272727272726</v>
      </c>
    </row>
    <row r="1135" spans="1:5" ht="15.75">
      <c r="A1135" s="126"/>
      <c r="B1135" s="185" t="s">
        <v>1827</v>
      </c>
      <c r="C1135" s="181" t="s">
        <v>379</v>
      </c>
      <c r="D1135" s="181"/>
      <c r="E1135" s="186">
        <v>14090.90909090909</v>
      </c>
    </row>
    <row r="1136" spans="1:5" ht="15.75">
      <c r="A1136" s="126"/>
      <c r="B1136" s="185" t="s">
        <v>1828</v>
      </c>
      <c r="C1136" s="181" t="s">
        <v>379</v>
      </c>
      <c r="D1136" s="181"/>
      <c r="E1136" s="186">
        <v>20981.81818181818</v>
      </c>
    </row>
    <row r="1137" spans="1:5" ht="18" customHeight="1">
      <c r="A1137" s="126"/>
      <c r="B1137" s="189" t="s">
        <v>1829</v>
      </c>
      <c r="C1137" s="181"/>
      <c r="D1137" s="310" t="s">
        <v>2535</v>
      </c>
      <c r="E1137" s="190"/>
    </row>
    <row r="1138" spans="1:5" ht="15.75">
      <c r="A1138" s="126"/>
      <c r="B1138" s="185" t="s">
        <v>1792</v>
      </c>
      <c r="C1138" s="181" t="s">
        <v>379</v>
      </c>
      <c r="D1138" s="181"/>
      <c r="E1138" s="186">
        <v>39364</v>
      </c>
    </row>
    <row r="1139" spans="1:5" ht="23.25" customHeight="1">
      <c r="A1139" s="126"/>
      <c r="B1139" s="185" t="s">
        <v>1793</v>
      </c>
      <c r="C1139" s="181" t="s">
        <v>379</v>
      </c>
      <c r="D1139" s="181"/>
      <c r="E1139" s="186">
        <v>63273</v>
      </c>
    </row>
    <row r="1140" spans="1:5" ht="15.75">
      <c r="A1140" s="126"/>
      <c r="B1140" s="185" t="s">
        <v>1794</v>
      </c>
      <c r="C1140" s="181" t="s">
        <v>379</v>
      </c>
      <c r="D1140" s="181"/>
      <c r="E1140" s="186">
        <v>101364</v>
      </c>
    </row>
    <row r="1141" spans="1:5" ht="15.75">
      <c r="A1141" s="126"/>
      <c r="B1141" s="185" t="s">
        <v>1795</v>
      </c>
      <c r="C1141" s="181" t="s">
        <v>379</v>
      </c>
      <c r="D1141" s="181"/>
      <c r="E1141" s="186">
        <v>138091</v>
      </c>
    </row>
    <row r="1142" spans="1:5" ht="15.75">
      <c r="A1142" s="126"/>
      <c r="B1142" s="185" t="s">
        <v>1796</v>
      </c>
      <c r="C1142" s="181" t="s">
        <v>379</v>
      </c>
      <c r="D1142" s="181"/>
      <c r="E1142" s="186">
        <v>186364</v>
      </c>
    </row>
    <row r="1143" spans="1:5" ht="15.75">
      <c r="A1143" s="126"/>
      <c r="B1143" s="185" t="s">
        <v>1797</v>
      </c>
      <c r="C1143" s="181" t="s">
        <v>379</v>
      </c>
      <c r="D1143" s="181"/>
      <c r="E1143" s="186">
        <v>263636</v>
      </c>
    </row>
    <row r="1144" spans="1:5" ht="16.5" customHeight="1">
      <c r="A1144" s="126"/>
      <c r="B1144" s="185" t="s">
        <v>1798</v>
      </c>
      <c r="C1144" s="181" t="s">
        <v>379</v>
      </c>
      <c r="D1144" s="181"/>
      <c r="E1144" s="186">
        <v>368182</v>
      </c>
    </row>
    <row r="1145" spans="1:5" ht="15.75">
      <c r="A1145" s="126"/>
      <c r="B1145" s="185" t="s">
        <v>1799</v>
      </c>
      <c r="C1145" s="181" t="s">
        <v>379</v>
      </c>
      <c r="D1145" s="181"/>
      <c r="E1145" s="186">
        <v>462727</v>
      </c>
    </row>
    <row r="1146" spans="1:5" ht="15.75">
      <c r="A1146" s="126"/>
      <c r="B1146" s="185" t="s">
        <v>1831</v>
      </c>
      <c r="C1146" s="181" t="s">
        <v>379</v>
      </c>
      <c r="D1146" s="181"/>
      <c r="E1146" s="186">
        <v>580909</v>
      </c>
    </row>
    <row r="1147" spans="1:5" ht="15.75">
      <c r="A1147" s="126"/>
      <c r="B1147" s="185" t="s">
        <v>1832</v>
      </c>
      <c r="C1147" s="181" t="s">
        <v>379</v>
      </c>
      <c r="D1147" s="181"/>
      <c r="E1147" s="186">
        <v>729091</v>
      </c>
    </row>
    <row r="1148" spans="1:5" ht="15.75">
      <c r="A1148" s="126"/>
      <c r="B1148" s="185" t="s">
        <v>1833</v>
      </c>
      <c r="C1148" s="181"/>
      <c r="D1148" s="181"/>
      <c r="E1148" s="186">
        <v>914182</v>
      </c>
    </row>
    <row r="1149" spans="1:5" ht="30">
      <c r="A1149" s="126" t="s">
        <v>380</v>
      </c>
      <c r="B1149" s="189" t="s">
        <v>1830</v>
      </c>
      <c r="C1149" s="183"/>
      <c r="D1149" s="310" t="s">
        <v>2535</v>
      </c>
      <c r="E1149" s="191"/>
    </row>
    <row r="1150" spans="1:5" ht="15.75">
      <c r="A1150" s="126"/>
      <c r="B1150" s="185" t="s">
        <v>1796</v>
      </c>
      <c r="C1150" s="181" t="s">
        <v>379</v>
      </c>
      <c r="D1150" s="181"/>
      <c r="E1150" s="186">
        <v>186364</v>
      </c>
    </row>
    <row r="1151" spans="1:5" ht="15.75">
      <c r="A1151" s="126"/>
      <c r="B1151" s="185" t="s">
        <v>1797</v>
      </c>
      <c r="C1151" s="181" t="s">
        <v>379</v>
      </c>
      <c r="D1151" s="181"/>
      <c r="E1151" s="186">
        <v>263636</v>
      </c>
    </row>
    <row r="1152" spans="1:5" ht="15.75">
      <c r="A1152" s="126"/>
      <c r="B1152" s="185" t="s">
        <v>1798</v>
      </c>
      <c r="C1152" s="181" t="s">
        <v>379</v>
      </c>
      <c r="D1152" s="181"/>
      <c r="E1152" s="186">
        <v>368182</v>
      </c>
    </row>
    <row r="1153" spans="1:5" ht="15.75">
      <c r="A1153" s="126"/>
      <c r="B1153" s="185" t="s">
        <v>1799</v>
      </c>
      <c r="C1153" s="181" t="s">
        <v>379</v>
      </c>
      <c r="D1153" s="181"/>
      <c r="E1153" s="186">
        <v>462727</v>
      </c>
    </row>
    <row r="1154" spans="1:5" ht="15.75">
      <c r="A1154" s="126"/>
      <c r="B1154" s="185" t="s">
        <v>1831</v>
      </c>
      <c r="C1154" s="181" t="s">
        <v>379</v>
      </c>
      <c r="D1154" s="181"/>
      <c r="E1154" s="186">
        <v>580909</v>
      </c>
    </row>
    <row r="1155" spans="1:5" ht="15.75">
      <c r="A1155" s="126"/>
      <c r="B1155" s="185" t="s">
        <v>1832</v>
      </c>
      <c r="C1155" s="181" t="s">
        <v>379</v>
      </c>
      <c r="D1155" s="181"/>
      <c r="E1155" s="186">
        <v>729091</v>
      </c>
    </row>
    <row r="1156" spans="1:5" ht="15.75">
      <c r="A1156" s="126"/>
      <c r="B1156" s="185" t="s">
        <v>1833</v>
      </c>
      <c r="C1156" s="181" t="s">
        <v>379</v>
      </c>
      <c r="D1156" s="181"/>
      <c r="E1156" s="186">
        <v>914182</v>
      </c>
    </row>
    <row r="1157" spans="1:5" ht="15.75">
      <c r="A1157" s="126"/>
      <c r="B1157" s="185" t="s">
        <v>1834</v>
      </c>
      <c r="C1157" s="181" t="s">
        <v>379</v>
      </c>
      <c r="D1157" s="181"/>
      <c r="E1157" s="186">
        <v>1206364</v>
      </c>
    </row>
    <row r="1158" spans="1:5" ht="15.75">
      <c r="A1158" s="126"/>
      <c r="B1158" s="185" t="s">
        <v>1835</v>
      </c>
      <c r="C1158" s="181" t="s">
        <v>379</v>
      </c>
      <c r="D1158" s="181"/>
      <c r="E1158" s="186">
        <v>1436364</v>
      </c>
    </row>
    <row r="1159" spans="1:5" ht="30">
      <c r="A1159" s="126" t="s">
        <v>380</v>
      </c>
      <c r="B1159" s="189" t="s">
        <v>1836</v>
      </c>
      <c r="C1159" s="181"/>
      <c r="D1159" s="310" t="s">
        <v>2535</v>
      </c>
      <c r="E1159" s="190"/>
    </row>
    <row r="1160" spans="1:5" ht="15.75">
      <c r="A1160" s="126"/>
      <c r="B1160" s="185" t="s">
        <v>1837</v>
      </c>
      <c r="C1160" s="181" t="s">
        <v>379</v>
      </c>
      <c r="D1160" s="181"/>
      <c r="E1160" s="186">
        <v>153455</v>
      </c>
    </row>
    <row r="1161" spans="1:5" ht="15.75">
      <c r="A1161" s="126"/>
      <c r="B1161" s="185" t="s">
        <v>1838</v>
      </c>
      <c r="C1161" s="181" t="s">
        <v>379</v>
      </c>
      <c r="D1161" s="181"/>
      <c r="E1161" s="186">
        <v>233000</v>
      </c>
    </row>
    <row r="1162" spans="1:5" ht="15.75">
      <c r="A1162" s="126"/>
      <c r="B1162" s="185" t="s">
        <v>1839</v>
      </c>
      <c r="C1162" s="181" t="s">
        <v>379</v>
      </c>
      <c r="D1162" s="181"/>
      <c r="E1162" s="186">
        <v>354000</v>
      </c>
    </row>
    <row r="1163" spans="1:5" ht="15.75">
      <c r="A1163" s="126"/>
      <c r="B1163" s="185" t="s">
        <v>1840</v>
      </c>
      <c r="C1163" s="181" t="s">
        <v>379</v>
      </c>
      <c r="D1163" s="181"/>
      <c r="E1163" s="186">
        <v>464818</v>
      </c>
    </row>
    <row r="1164" spans="1:5" ht="15.75">
      <c r="A1164" s="126"/>
      <c r="B1164" s="185" t="s">
        <v>1841</v>
      </c>
      <c r="C1164" s="181" t="s">
        <v>379</v>
      </c>
      <c r="D1164" s="181"/>
      <c r="E1164" s="186">
        <v>502273</v>
      </c>
    </row>
    <row r="1165" spans="1:5" ht="15.75">
      <c r="A1165" s="126"/>
      <c r="B1165" s="185" t="s">
        <v>1842</v>
      </c>
      <c r="C1165" s="181" t="s">
        <v>379</v>
      </c>
      <c r="D1165" s="181"/>
      <c r="E1165" s="186">
        <v>648909</v>
      </c>
    </row>
    <row r="1166" spans="1:5" ht="15.75">
      <c r="A1166" s="126"/>
      <c r="B1166" s="185" t="s">
        <v>1843</v>
      </c>
      <c r="C1166" s="181" t="s">
        <v>379</v>
      </c>
      <c r="D1166" s="181"/>
      <c r="E1166" s="186">
        <v>687545</v>
      </c>
    </row>
    <row r="1167" spans="1:5" ht="15.75">
      <c r="A1167" s="126"/>
      <c r="B1167" s="185" t="s">
        <v>1844</v>
      </c>
      <c r="C1167" s="181" t="s">
        <v>379</v>
      </c>
      <c r="D1167" s="181"/>
      <c r="E1167" s="186">
        <v>900000</v>
      </c>
    </row>
    <row r="1168" spans="1:5" ht="15.75">
      <c r="A1168" s="126"/>
      <c r="B1168" s="185" t="s">
        <v>1845</v>
      </c>
      <c r="C1168" s="181" t="s">
        <v>379</v>
      </c>
      <c r="D1168" s="181"/>
      <c r="E1168" s="186">
        <v>954545</v>
      </c>
    </row>
    <row r="1169" spans="1:5" ht="15.75">
      <c r="A1169" s="126"/>
      <c r="B1169" s="185" t="s">
        <v>1846</v>
      </c>
      <c r="C1169" s="181" t="s">
        <v>379</v>
      </c>
      <c r="D1169" s="181"/>
      <c r="E1169" s="186">
        <v>1238636</v>
      </c>
    </row>
    <row r="1170" spans="1:5" ht="15.75">
      <c r="A1170" s="126"/>
      <c r="B1170" s="185" t="s">
        <v>1847</v>
      </c>
      <c r="C1170" s="181" t="s">
        <v>379</v>
      </c>
      <c r="D1170" s="181"/>
      <c r="E1170" s="186">
        <v>1312545</v>
      </c>
    </row>
    <row r="1171" spans="1:5" ht="15.75">
      <c r="A1171" s="126"/>
      <c r="B1171" s="185" t="s">
        <v>1848</v>
      </c>
      <c r="C1171" s="181" t="s">
        <v>379</v>
      </c>
      <c r="D1171" s="181"/>
      <c r="E1171" s="186">
        <v>1568182</v>
      </c>
    </row>
    <row r="1172" spans="1:5" ht="15.75">
      <c r="A1172" s="126"/>
      <c r="B1172" s="185" t="s">
        <v>1849</v>
      </c>
      <c r="C1172" s="181" t="s">
        <v>379</v>
      </c>
      <c r="D1172" s="181"/>
      <c r="E1172" s="186">
        <v>1670455</v>
      </c>
    </row>
    <row r="1173" spans="1:5" ht="15.75">
      <c r="A1173" s="126"/>
      <c r="B1173" s="185" t="s">
        <v>1850</v>
      </c>
      <c r="C1173" s="181" t="s">
        <v>379</v>
      </c>
      <c r="D1173" s="181"/>
      <c r="E1173" s="186">
        <v>1886364</v>
      </c>
    </row>
    <row r="1174" spans="1:5" ht="15.75">
      <c r="A1174" s="126"/>
      <c r="B1174" s="185" t="s">
        <v>1851</v>
      </c>
      <c r="C1174" s="181" t="s">
        <v>379</v>
      </c>
      <c r="D1174" s="181"/>
      <c r="E1174" s="186">
        <v>1994545</v>
      </c>
    </row>
    <row r="1175" spans="1:5" ht="30">
      <c r="A1175" s="126" t="s">
        <v>380</v>
      </c>
      <c r="B1175" s="189" t="s">
        <v>1852</v>
      </c>
      <c r="C1175" s="181"/>
      <c r="D1175" s="310" t="s">
        <v>2535</v>
      </c>
      <c r="E1175" s="190"/>
    </row>
    <row r="1176" spans="1:5" ht="15.75">
      <c r="A1176" s="126"/>
      <c r="B1176" s="185" t="s">
        <v>1853</v>
      </c>
      <c r="C1176" s="181" t="s">
        <v>379</v>
      </c>
      <c r="D1176" s="181"/>
      <c r="E1176" s="186">
        <v>155273</v>
      </c>
    </row>
    <row r="1177" spans="1:5" ht="15.75">
      <c r="A1177" s="126"/>
      <c r="B1177" s="185" t="s">
        <v>1854</v>
      </c>
      <c r="C1177" s="181" t="s">
        <v>379</v>
      </c>
      <c r="D1177" s="181"/>
      <c r="E1177" s="186">
        <v>241273</v>
      </c>
    </row>
    <row r="1178" spans="1:5" ht="15.75">
      <c r="A1178" s="126"/>
      <c r="B1178" s="185" t="s">
        <v>1855</v>
      </c>
      <c r="C1178" s="181" t="s">
        <v>379</v>
      </c>
      <c r="D1178" s="181"/>
      <c r="E1178" s="186">
        <v>379727</v>
      </c>
    </row>
    <row r="1179" spans="1:5" ht="15.75">
      <c r="A1179" s="126"/>
      <c r="B1179" s="185" t="s">
        <v>1856</v>
      </c>
      <c r="C1179" s="181" t="s">
        <v>379</v>
      </c>
      <c r="D1179" s="181"/>
      <c r="E1179" s="186">
        <v>503636</v>
      </c>
    </row>
    <row r="1180" spans="1:5" ht="15.75">
      <c r="A1180" s="126"/>
      <c r="B1180" s="185" t="s">
        <v>1857</v>
      </c>
      <c r="C1180" s="181" t="s">
        <v>379</v>
      </c>
      <c r="D1180" s="181"/>
      <c r="E1180" s="186">
        <v>663636</v>
      </c>
    </row>
    <row r="1181" spans="1:5" ht="15.75">
      <c r="A1181" s="126"/>
      <c r="B1181" s="185" t="s">
        <v>1858</v>
      </c>
      <c r="C1181" s="181" t="s">
        <v>379</v>
      </c>
      <c r="D1181" s="181"/>
      <c r="E1181" s="186">
        <v>954545</v>
      </c>
    </row>
    <row r="1182" spans="1:5" ht="15.75">
      <c r="A1182" s="126"/>
      <c r="B1182" s="185" t="s">
        <v>1859</v>
      </c>
      <c r="C1182" s="181" t="s">
        <v>379</v>
      </c>
      <c r="D1182" s="181"/>
      <c r="E1182" s="186">
        <v>1335455</v>
      </c>
    </row>
    <row r="1183" spans="1:5" ht="15.75">
      <c r="A1183" s="126"/>
      <c r="B1183" s="185" t="s">
        <v>1860</v>
      </c>
      <c r="C1183" s="181" t="s">
        <v>379</v>
      </c>
      <c r="D1183" s="181"/>
      <c r="E1183" s="186">
        <v>1658182</v>
      </c>
    </row>
    <row r="1184" spans="1:5" ht="15.75">
      <c r="A1184" s="126"/>
      <c r="B1184" s="185" t="s">
        <v>1861</v>
      </c>
      <c r="C1184" s="181" t="s">
        <v>379</v>
      </c>
      <c r="D1184" s="181"/>
      <c r="E1184" s="186">
        <v>1965455</v>
      </c>
    </row>
    <row r="1185" spans="1:5" ht="15.75">
      <c r="A1185" s="126"/>
      <c r="B1185" s="185" t="s">
        <v>1862</v>
      </c>
      <c r="C1185" s="181" t="s">
        <v>379</v>
      </c>
      <c r="D1185" s="181"/>
      <c r="E1185" s="186">
        <v>2570909</v>
      </c>
    </row>
    <row r="1186" spans="1:5" ht="15.75">
      <c r="A1186" s="126"/>
      <c r="B1186" s="185" t="s">
        <v>1863</v>
      </c>
      <c r="C1186" s="181" t="s">
        <v>379</v>
      </c>
      <c r="D1186" s="181"/>
      <c r="E1186" s="186">
        <v>3220000</v>
      </c>
    </row>
    <row r="1187" spans="1:5" ht="15.75">
      <c r="A1187" s="126"/>
      <c r="B1187" s="185" t="s">
        <v>1864</v>
      </c>
      <c r="C1187" s="181"/>
      <c r="D1187" s="181"/>
      <c r="E1187" s="186">
        <v>4209091</v>
      </c>
    </row>
    <row r="1188" spans="1:5" ht="30">
      <c r="A1188" s="126" t="s">
        <v>380</v>
      </c>
      <c r="B1188" s="189" t="s">
        <v>1865</v>
      </c>
      <c r="C1188" s="181"/>
      <c r="D1188" s="310" t="s">
        <v>2535</v>
      </c>
      <c r="E1188" s="190"/>
    </row>
    <row r="1189" spans="1:5" ht="15.75">
      <c r="A1189" s="126"/>
      <c r="B1189" s="185" t="s">
        <v>1866</v>
      </c>
      <c r="C1189" s="181" t="s">
        <v>379</v>
      </c>
      <c r="D1189" s="181"/>
      <c r="E1189" s="186">
        <v>38818</v>
      </c>
    </row>
    <row r="1190" spans="1:5" ht="15.75">
      <c r="A1190" s="126"/>
      <c r="B1190" s="185" t="s">
        <v>1867</v>
      </c>
      <c r="C1190" s="181" t="s">
        <v>379</v>
      </c>
      <c r="D1190" s="181"/>
      <c r="E1190" s="186">
        <v>62364</v>
      </c>
    </row>
    <row r="1191" spans="1:5" ht="15.75">
      <c r="A1191" s="126"/>
      <c r="B1191" s="185" t="s">
        <v>1868</v>
      </c>
      <c r="C1191" s="181" t="s">
        <v>379</v>
      </c>
      <c r="D1191" s="181"/>
      <c r="E1191" s="186">
        <v>99091</v>
      </c>
    </row>
    <row r="1192" spans="1:5" ht="15.75">
      <c r="A1192" s="126"/>
      <c r="B1192" s="185" t="s">
        <v>1869</v>
      </c>
      <c r="C1192" s="181" t="s">
        <v>379</v>
      </c>
      <c r="D1192" s="181"/>
      <c r="E1192" s="186">
        <v>135455</v>
      </c>
    </row>
    <row r="1193" spans="1:5" ht="15.75">
      <c r="A1193" s="126"/>
      <c r="B1193" s="185" t="s">
        <v>1870</v>
      </c>
      <c r="C1193" s="181" t="s">
        <v>379</v>
      </c>
      <c r="D1193" s="181"/>
      <c r="E1193" s="186">
        <v>186364</v>
      </c>
    </row>
    <row r="1194" spans="1:5" ht="15.75">
      <c r="A1194" s="126"/>
      <c r="B1194" s="185" t="s">
        <v>1871</v>
      </c>
      <c r="C1194" s="181" t="s">
        <v>379</v>
      </c>
      <c r="D1194" s="181"/>
      <c r="E1194" s="186">
        <v>263636</v>
      </c>
    </row>
    <row r="1195" spans="1:5" ht="15.75">
      <c r="A1195" s="126"/>
      <c r="B1195" s="185" t="s">
        <v>1872</v>
      </c>
      <c r="C1195" s="181" t="s">
        <v>379</v>
      </c>
      <c r="D1195" s="181"/>
      <c r="E1195" s="186">
        <v>368091</v>
      </c>
    </row>
    <row r="1196" spans="1:5" ht="15.75">
      <c r="A1196" s="126"/>
      <c r="B1196" s="185" t="s">
        <v>1873</v>
      </c>
      <c r="C1196" s="181" t="s">
        <v>379</v>
      </c>
      <c r="D1196" s="181"/>
      <c r="E1196" s="186">
        <v>455455</v>
      </c>
    </row>
    <row r="1197" spans="1:5" ht="15.75">
      <c r="A1197" s="126"/>
      <c r="B1197" s="185" t="s">
        <v>1874</v>
      </c>
      <c r="C1197" s="181" t="s">
        <v>379</v>
      </c>
      <c r="D1197" s="181"/>
      <c r="E1197" s="186">
        <v>570909</v>
      </c>
    </row>
    <row r="1198" spans="1:5" ht="15.75">
      <c r="A1198" s="126"/>
      <c r="B1198" s="185" t="s">
        <v>1875</v>
      </c>
      <c r="C1198" s="181" t="s">
        <v>379</v>
      </c>
      <c r="D1198" s="181"/>
      <c r="E1198" s="186">
        <v>717273</v>
      </c>
    </row>
    <row r="1199" spans="1:5" ht="15.75">
      <c r="A1199" s="126"/>
      <c r="B1199" s="185" t="s">
        <v>1876</v>
      </c>
      <c r="C1199" s="181" t="s">
        <v>379</v>
      </c>
      <c r="D1199" s="181"/>
      <c r="E1199" s="186">
        <v>900000</v>
      </c>
    </row>
    <row r="1200" spans="1:5" ht="30">
      <c r="A1200" s="126" t="s">
        <v>380</v>
      </c>
      <c r="B1200" s="189" t="s">
        <v>1877</v>
      </c>
      <c r="C1200" s="192"/>
      <c r="D1200" s="310" t="s">
        <v>2535</v>
      </c>
      <c r="E1200" s="193"/>
    </row>
    <row r="1201" spans="1:5" ht="15.75">
      <c r="A1201" s="126"/>
      <c r="B1201" s="185" t="s">
        <v>1878</v>
      </c>
      <c r="C1201" s="181" t="s">
        <v>379</v>
      </c>
      <c r="D1201" s="181"/>
      <c r="E1201" s="186">
        <v>227273</v>
      </c>
    </row>
    <row r="1202" spans="1:5" ht="15.75">
      <c r="A1202" s="126"/>
      <c r="B1202" s="185" t="s">
        <v>1879</v>
      </c>
      <c r="C1202" s="181" t="s">
        <v>379</v>
      </c>
      <c r="D1202" s="181"/>
      <c r="E1202" s="186">
        <v>325000</v>
      </c>
    </row>
    <row r="1203" spans="1:5" ht="15.75">
      <c r="A1203" s="126"/>
      <c r="B1203" s="185" t="s">
        <v>1880</v>
      </c>
      <c r="C1203" s="181" t="s">
        <v>379</v>
      </c>
      <c r="D1203" s="181"/>
      <c r="E1203" s="186">
        <v>445455</v>
      </c>
    </row>
    <row r="1204" spans="1:5" ht="15.75">
      <c r="A1204" s="126"/>
      <c r="B1204" s="185" t="s">
        <v>1881</v>
      </c>
      <c r="C1204" s="181" t="s">
        <v>379</v>
      </c>
      <c r="D1204" s="181"/>
      <c r="E1204" s="186">
        <v>470909</v>
      </c>
    </row>
    <row r="1205" spans="1:5" ht="15.75">
      <c r="A1205" s="126"/>
      <c r="B1205" s="185" t="s">
        <v>1882</v>
      </c>
      <c r="C1205" s="181" t="s">
        <v>379</v>
      </c>
      <c r="D1205" s="181"/>
      <c r="E1205" s="186">
        <v>609091</v>
      </c>
    </row>
    <row r="1206" spans="1:5" ht="15.75">
      <c r="A1206" s="126"/>
      <c r="B1206" s="185" t="s">
        <v>1883</v>
      </c>
      <c r="C1206" s="181" t="s">
        <v>379</v>
      </c>
      <c r="D1206" s="181"/>
      <c r="E1206" s="186">
        <v>700636</v>
      </c>
    </row>
    <row r="1207" spans="1:5" ht="15.75">
      <c r="A1207" s="126"/>
      <c r="B1207" s="185" t="s">
        <v>1884</v>
      </c>
      <c r="C1207" s="181" t="s">
        <v>379</v>
      </c>
      <c r="D1207" s="181"/>
      <c r="E1207" s="186">
        <v>863636</v>
      </c>
    </row>
    <row r="1208" spans="1:5" ht="15.75">
      <c r="A1208" s="126"/>
      <c r="B1208" s="185" t="s">
        <v>1885</v>
      </c>
      <c r="C1208" s="181" t="s">
        <v>379</v>
      </c>
      <c r="D1208" s="181"/>
      <c r="E1208" s="186">
        <v>948182</v>
      </c>
    </row>
    <row r="1209" spans="1:5" ht="15.75">
      <c r="A1209" s="126"/>
      <c r="B1209" s="185" t="s">
        <v>1886</v>
      </c>
      <c r="C1209" s="181" t="s">
        <v>379</v>
      </c>
      <c r="D1209" s="181"/>
      <c r="E1209" s="186">
        <v>1227273</v>
      </c>
    </row>
    <row r="1210" spans="1:5" ht="15.75">
      <c r="A1210" s="126"/>
      <c r="B1210" s="185" t="s">
        <v>1887</v>
      </c>
      <c r="C1210" s="181" t="s">
        <v>379</v>
      </c>
      <c r="D1210" s="181"/>
      <c r="E1210" s="186">
        <v>1308182</v>
      </c>
    </row>
    <row r="1211" spans="1:5" ht="15.75">
      <c r="A1211" s="126"/>
      <c r="B1211" s="185" t="s">
        <v>1888</v>
      </c>
      <c r="C1211" s="181" t="s">
        <v>379</v>
      </c>
      <c r="D1211" s="181"/>
      <c r="E1211" s="186">
        <v>1500000</v>
      </c>
    </row>
    <row r="1212" spans="1:5" ht="15.75">
      <c r="A1212" s="126"/>
      <c r="B1212" s="185" t="s">
        <v>1889</v>
      </c>
      <c r="C1212" s="181" t="s">
        <v>379</v>
      </c>
      <c r="D1212" s="181"/>
      <c r="E1212" s="186">
        <v>1640909</v>
      </c>
    </row>
    <row r="1213" spans="1:5" ht="15.75">
      <c r="A1213" s="126"/>
      <c r="B1213" s="185" t="s">
        <v>1890</v>
      </c>
      <c r="C1213" s="181" t="s">
        <v>379</v>
      </c>
      <c r="D1213" s="181"/>
      <c r="E1213" s="186">
        <v>1800000</v>
      </c>
    </row>
    <row r="1214" spans="1:5" ht="15.75">
      <c r="A1214" s="126"/>
      <c r="B1214" s="185" t="s">
        <v>1891</v>
      </c>
      <c r="C1214" s="181" t="s">
        <v>379</v>
      </c>
      <c r="D1214" s="181"/>
      <c r="E1214" s="186">
        <v>1990000</v>
      </c>
    </row>
    <row r="1215" spans="1:5" ht="15.75">
      <c r="A1215" s="126"/>
      <c r="B1215" s="185" t="s">
        <v>1892</v>
      </c>
      <c r="C1215" s="181" t="s">
        <v>379</v>
      </c>
      <c r="D1215" s="181"/>
      <c r="E1215" s="186">
        <v>2089091</v>
      </c>
    </row>
    <row r="1216" spans="1:5" ht="15.75">
      <c r="A1216" s="126"/>
      <c r="B1216" s="185" t="s">
        <v>1893</v>
      </c>
      <c r="C1216" s="181"/>
      <c r="D1216" s="181"/>
      <c r="E1216" s="186">
        <v>2318182</v>
      </c>
    </row>
    <row r="1217" spans="1:5" ht="30">
      <c r="A1217" s="126" t="s">
        <v>380</v>
      </c>
      <c r="B1217" s="189" t="s">
        <v>1852</v>
      </c>
      <c r="C1217" s="181"/>
      <c r="D1217" s="310" t="s">
        <v>2535</v>
      </c>
      <c r="E1217" s="190"/>
    </row>
    <row r="1218" spans="1:5" ht="15.75">
      <c r="A1218" s="126"/>
      <c r="B1218" s="185" t="s">
        <v>1894</v>
      </c>
      <c r="C1218" s="181" t="s">
        <v>379</v>
      </c>
      <c r="D1218" s="181"/>
      <c r="E1218" s="186">
        <v>163636</v>
      </c>
    </row>
    <row r="1219" spans="1:5" ht="15.75">
      <c r="A1219" s="126"/>
      <c r="B1219" s="185" t="s">
        <v>1895</v>
      </c>
      <c r="C1219" s="181" t="s">
        <v>379</v>
      </c>
      <c r="D1219" s="181"/>
      <c r="E1219" s="186">
        <v>250000</v>
      </c>
    </row>
    <row r="1220" spans="1:5" ht="15.75">
      <c r="A1220" s="126"/>
      <c r="B1220" s="185" t="s">
        <v>1896</v>
      </c>
      <c r="C1220" s="181" t="s">
        <v>379</v>
      </c>
      <c r="D1220" s="181"/>
      <c r="E1220" s="186">
        <v>400000</v>
      </c>
    </row>
    <row r="1221" spans="1:5" ht="15.75">
      <c r="A1221" s="126"/>
      <c r="B1221" s="185" t="s">
        <v>1897</v>
      </c>
      <c r="C1221" s="181" t="s">
        <v>379</v>
      </c>
      <c r="D1221" s="181"/>
      <c r="E1221" s="186">
        <v>554545</v>
      </c>
    </row>
    <row r="1222" spans="1:5" ht="15.75">
      <c r="A1222" s="126"/>
      <c r="B1222" s="185" t="s">
        <v>1898</v>
      </c>
      <c r="C1222" s="181" t="s">
        <v>379</v>
      </c>
      <c r="D1222" s="181"/>
      <c r="E1222" s="186">
        <v>781818</v>
      </c>
    </row>
    <row r="1223" spans="1:5" ht="15.75">
      <c r="A1223" s="126"/>
      <c r="B1223" s="185" t="s">
        <v>1899</v>
      </c>
      <c r="C1223" s="181" t="s">
        <v>379</v>
      </c>
      <c r="D1223" s="181"/>
      <c r="E1223" s="186">
        <v>1081818</v>
      </c>
    </row>
    <row r="1224" spans="1:5" ht="15.75">
      <c r="A1224" s="126"/>
      <c r="B1224" s="185" t="s">
        <v>1900</v>
      </c>
      <c r="C1224" s="181" t="s">
        <v>379</v>
      </c>
      <c r="D1224" s="181"/>
      <c r="E1224" s="186">
        <v>1477273</v>
      </c>
    </row>
    <row r="1225" spans="1:5" ht="15.75">
      <c r="A1225" s="126"/>
      <c r="B1225" s="185" t="s">
        <v>1901</v>
      </c>
      <c r="C1225" s="181" t="s">
        <v>379</v>
      </c>
      <c r="D1225" s="181"/>
      <c r="E1225" s="186">
        <v>1827273</v>
      </c>
    </row>
    <row r="1226" spans="1:5" ht="15.75">
      <c r="A1226" s="126"/>
      <c r="B1226" s="185" t="s">
        <v>1902</v>
      </c>
      <c r="C1226" s="181" t="s">
        <v>379</v>
      </c>
      <c r="D1226" s="181"/>
      <c r="E1226" s="186">
        <v>2294545</v>
      </c>
    </row>
    <row r="1227" spans="1:5" ht="15.75">
      <c r="A1227" s="126"/>
      <c r="B1227" s="185" t="s">
        <v>1903</v>
      </c>
      <c r="C1227" s="181" t="s">
        <v>379</v>
      </c>
      <c r="D1227" s="181"/>
      <c r="E1227" s="186">
        <v>2875455</v>
      </c>
    </row>
    <row r="1228" spans="1:5" ht="15.75">
      <c r="A1228" s="126"/>
      <c r="B1228" s="185" t="s">
        <v>1904</v>
      </c>
      <c r="C1228" s="181" t="s">
        <v>379</v>
      </c>
      <c r="D1228" s="181"/>
      <c r="E1228" s="186">
        <v>3610909</v>
      </c>
    </row>
    <row r="1229" spans="1:5" ht="15.75">
      <c r="A1229" s="126"/>
      <c r="B1229" s="185" t="s">
        <v>1905</v>
      </c>
      <c r="C1229" s="181" t="s">
        <v>379</v>
      </c>
      <c r="D1229" s="181"/>
      <c r="E1229" s="186">
        <v>4585455</v>
      </c>
    </row>
    <row r="1230" spans="1:5" ht="15.75">
      <c r="A1230" s="126"/>
      <c r="B1230" s="185" t="s">
        <v>1906</v>
      </c>
      <c r="C1230" s="181" t="s">
        <v>379</v>
      </c>
      <c r="D1230" s="181"/>
      <c r="E1230" s="186">
        <v>5943636</v>
      </c>
    </row>
    <row r="1231" spans="1:5" ht="29.25">
      <c r="A1231" s="131" t="s">
        <v>1266</v>
      </c>
      <c r="B1231" s="145" t="s">
        <v>838</v>
      </c>
      <c r="C1231" s="192"/>
      <c r="D1231" s="192"/>
      <c r="E1231" s="194"/>
    </row>
    <row r="1232" spans="1:5" ht="15.75">
      <c r="A1232" s="131" t="s">
        <v>0</v>
      </c>
      <c r="B1232" s="127" t="s">
        <v>827</v>
      </c>
      <c r="C1232" s="183"/>
      <c r="D1232" s="310" t="s">
        <v>2536</v>
      </c>
      <c r="E1232" s="187"/>
    </row>
    <row r="1233" spans="1:5" ht="15.75">
      <c r="A1233" s="126"/>
      <c r="B1233" s="130" t="s">
        <v>830</v>
      </c>
      <c r="C1233" s="181" t="s">
        <v>379</v>
      </c>
      <c r="D1233" s="181"/>
      <c r="E1233" s="186">
        <v>2450</v>
      </c>
    </row>
    <row r="1234" spans="1:5" ht="15.75">
      <c r="A1234" s="126"/>
      <c r="B1234" s="130" t="s">
        <v>829</v>
      </c>
      <c r="C1234" s="181" t="s">
        <v>379</v>
      </c>
      <c r="D1234" s="181"/>
      <c r="E1234" s="186">
        <v>4070</v>
      </c>
    </row>
    <row r="1235" spans="1:5" ht="19.5" customHeight="1">
      <c r="A1235" s="126" t="s">
        <v>380</v>
      </c>
      <c r="B1235" s="127" t="s">
        <v>1303</v>
      </c>
      <c r="C1235" s="181"/>
      <c r="D1235" s="310" t="s">
        <v>2537</v>
      </c>
      <c r="E1235" s="188"/>
    </row>
    <row r="1236" spans="1:5" ht="15.75">
      <c r="A1236" s="126"/>
      <c r="B1236" s="185" t="s">
        <v>2037</v>
      </c>
      <c r="C1236" s="181" t="s">
        <v>379</v>
      </c>
      <c r="D1236" s="181"/>
      <c r="E1236" s="186">
        <v>4660</v>
      </c>
    </row>
    <row r="1237" spans="1:5" ht="15.75">
      <c r="A1237" s="126"/>
      <c r="B1237" s="185" t="s">
        <v>2038</v>
      </c>
      <c r="C1237" s="181" t="s">
        <v>379</v>
      </c>
      <c r="D1237" s="181"/>
      <c r="E1237" s="186">
        <v>6570</v>
      </c>
    </row>
    <row r="1238" spans="1:5" ht="15.75">
      <c r="A1238" s="126"/>
      <c r="B1238" s="185" t="s">
        <v>2039</v>
      </c>
      <c r="C1238" s="181" t="s">
        <v>379</v>
      </c>
      <c r="D1238" s="181"/>
      <c r="E1238" s="186">
        <v>8430</v>
      </c>
    </row>
    <row r="1239" spans="1:5" ht="15.75">
      <c r="A1239" s="126"/>
      <c r="B1239" s="185" t="s">
        <v>2040</v>
      </c>
      <c r="C1239" s="181" t="s">
        <v>379</v>
      </c>
      <c r="D1239" s="181"/>
      <c r="E1239" s="186">
        <v>12000</v>
      </c>
    </row>
    <row r="1240" spans="1:5" ht="15.75">
      <c r="A1240" s="126"/>
      <c r="B1240" s="185" t="s">
        <v>2041</v>
      </c>
      <c r="C1240" s="181" t="s">
        <v>379</v>
      </c>
      <c r="D1240" s="181"/>
      <c r="E1240" s="186">
        <v>19460</v>
      </c>
    </row>
    <row r="1241" spans="1:5" ht="15.75">
      <c r="A1241" s="132" t="s">
        <v>380</v>
      </c>
      <c r="B1241" s="127" t="s">
        <v>828</v>
      </c>
      <c r="C1241" s="192"/>
      <c r="D1241" s="181" t="s">
        <v>2538</v>
      </c>
      <c r="E1241" s="194"/>
    </row>
    <row r="1242" spans="1:5" ht="19.5" customHeight="1">
      <c r="A1242" s="126"/>
      <c r="B1242" s="130" t="s">
        <v>859</v>
      </c>
      <c r="C1242" s="181" t="s">
        <v>379</v>
      </c>
      <c r="D1242" s="181"/>
      <c r="E1242" s="186">
        <v>9680</v>
      </c>
    </row>
    <row r="1243" spans="1:5" ht="15.75">
      <c r="A1243" s="126"/>
      <c r="B1243" s="130" t="s">
        <v>860</v>
      </c>
      <c r="C1243" s="181" t="s">
        <v>379</v>
      </c>
      <c r="D1243" s="181"/>
      <c r="E1243" s="186">
        <v>13640</v>
      </c>
    </row>
    <row r="1244" spans="1:5" ht="15.75">
      <c r="A1244" s="126"/>
      <c r="B1244" s="130" t="s">
        <v>861</v>
      </c>
      <c r="C1244" s="181" t="s">
        <v>379</v>
      </c>
      <c r="D1244" s="181"/>
      <c r="E1244" s="186">
        <v>49610</v>
      </c>
    </row>
    <row r="1245" spans="1:5" ht="14.25" customHeight="1">
      <c r="A1245" s="132" t="s">
        <v>380</v>
      </c>
      <c r="B1245" s="127" t="s">
        <v>826</v>
      </c>
      <c r="C1245" s="192"/>
      <c r="D1245" s="181" t="s">
        <v>2537</v>
      </c>
      <c r="E1245" s="194"/>
    </row>
    <row r="1246" spans="1:5" ht="15.75">
      <c r="A1246" s="126"/>
      <c r="B1246" s="130" t="s">
        <v>1783</v>
      </c>
      <c r="C1246" s="181" t="s">
        <v>379</v>
      </c>
      <c r="D1246" s="181"/>
      <c r="E1246" s="186">
        <v>36818</v>
      </c>
    </row>
    <row r="1247" spans="1:5" ht="15.75">
      <c r="A1247" s="126"/>
      <c r="B1247" s="130" t="s">
        <v>1784</v>
      </c>
      <c r="C1247" s="181" t="s">
        <v>379</v>
      </c>
      <c r="D1247" s="181"/>
      <c r="E1247" s="186">
        <v>60000</v>
      </c>
    </row>
    <row r="1248" spans="1:5" ht="15.75">
      <c r="A1248" s="126"/>
      <c r="B1248" s="130" t="s">
        <v>1785</v>
      </c>
      <c r="C1248" s="181" t="s">
        <v>379</v>
      </c>
      <c r="D1248" s="181"/>
      <c r="E1248" s="186">
        <v>95455</v>
      </c>
    </row>
    <row r="1249" spans="1:5" ht="15.75">
      <c r="A1249" s="126"/>
      <c r="B1249" s="130" t="s">
        <v>1786</v>
      </c>
      <c r="C1249" s="181" t="s">
        <v>379</v>
      </c>
      <c r="D1249" s="181"/>
      <c r="E1249" s="186">
        <v>130909</v>
      </c>
    </row>
    <row r="1250" spans="1:5" ht="15.75">
      <c r="A1250" s="126"/>
      <c r="B1250" s="130" t="s">
        <v>1787</v>
      </c>
      <c r="C1250" s="181" t="s">
        <v>379</v>
      </c>
      <c r="D1250" s="181"/>
      <c r="E1250" s="186">
        <v>181818</v>
      </c>
    </row>
    <row r="1251" spans="1:5" ht="15.75">
      <c r="A1251" s="126"/>
      <c r="B1251" s="130" t="s">
        <v>1788</v>
      </c>
      <c r="C1251" s="181" t="s">
        <v>379</v>
      </c>
      <c r="D1251" s="181"/>
      <c r="E1251" s="186">
        <v>256364</v>
      </c>
    </row>
    <row r="1252" spans="1:5" ht="15.75" customHeight="1">
      <c r="A1252" s="126"/>
      <c r="B1252" s="130" t="s">
        <v>1789</v>
      </c>
      <c r="C1252" s="181" t="s">
        <v>379</v>
      </c>
      <c r="D1252" s="181"/>
      <c r="E1252" s="186">
        <v>351818</v>
      </c>
    </row>
    <row r="1253" spans="1:5" ht="15.75">
      <c r="A1253" s="126"/>
      <c r="B1253" s="130" t="s">
        <v>1790</v>
      </c>
      <c r="C1253" s="181" t="s">
        <v>379</v>
      </c>
      <c r="D1253" s="181"/>
      <c r="E1253" s="186">
        <v>441818</v>
      </c>
    </row>
    <row r="1254" spans="1:5" ht="15.75">
      <c r="A1254" s="126"/>
      <c r="B1254" s="130" t="s">
        <v>1791</v>
      </c>
      <c r="C1254" s="181" t="s">
        <v>379</v>
      </c>
      <c r="D1254" s="181"/>
      <c r="E1254" s="186">
        <v>550909</v>
      </c>
    </row>
    <row r="1255" spans="1:5" ht="18.75" customHeight="1">
      <c r="A1255" s="126" t="s">
        <v>380</v>
      </c>
      <c r="B1255" s="145" t="s">
        <v>2048</v>
      </c>
      <c r="C1255" s="181"/>
      <c r="D1255" s="181" t="s">
        <v>2537</v>
      </c>
      <c r="E1255" s="186"/>
    </row>
    <row r="1256" spans="1:5" ht="15.75">
      <c r="A1256" s="126"/>
      <c r="B1256" s="130" t="s">
        <v>2042</v>
      </c>
      <c r="C1256" s="181" t="s">
        <v>379</v>
      </c>
      <c r="D1256" s="181"/>
      <c r="E1256" s="186">
        <v>6240</v>
      </c>
    </row>
    <row r="1257" spans="1:5" ht="15.75">
      <c r="A1257" s="126"/>
      <c r="B1257" s="130" t="s">
        <v>2043</v>
      </c>
      <c r="C1257" s="181" t="s">
        <v>379</v>
      </c>
      <c r="D1257" s="181"/>
      <c r="E1257" s="186">
        <v>10180</v>
      </c>
    </row>
    <row r="1258" spans="1:5" ht="15.75">
      <c r="A1258" s="126"/>
      <c r="B1258" s="130" t="s">
        <v>2044</v>
      </c>
      <c r="C1258" s="181" t="s">
        <v>379</v>
      </c>
      <c r="D1258" s="181"/>
      <c r="E1258" s="186">
        <v>37460</v>
      </c>
    </row>
    <row r="1259" spans="1:5" ht="15.75">
      <c r="A1259" s="126"/>
      <c r="B1259" s="130" t="s">
        <v>2045</v>
      </c>
      <c r="C1259" s="181" t="s">
        <v>379</v>
      </c>
      <c r="D1259" s="181"/>
      <c r="E1259" s="186">
        <v>169310</v>
      </c>
    </row>
    <row r="1260" spans="1:5" ht="15.75">
      <c r="A1260" s="126"/>
      <c r="B1260" s="130" t="s">
        <v>2046</v>
      </c>
      <c r="C1260" s="181" t="s">
        <v>379</v>
      </c>
      <c r="D1260" s="181"/>
      <c r="E1260" s="186">
        <v>850730</v>
      </c>
    </row>
    <row r="1261" spans="1:5" ht="15.75">
      <c r="A1261" s="126"/>
      <c r="B1261" s="130" t="s">
        <v>2047</v>
      </c>
      <c r="C1261" s="181" t="s">
        <v>379</v>
      </c>
      <c r="D1261" s="181"/>
      <c r="E1261" s="186">
        <v>1067060</v>
      </c>
    </row>
    <row r="1262" spans="1:5" ht="15.75" customHeight="1">
      <c r="A1262" s="132" t="s">
        <v>380</v>
      </c>
      <c r="B1262" s="127" t="s">
        <v>831</v>
      </c>
      <c r="C1262" s="192"/>
      <c r="D1262" s="310" t="s">
        <v>2539</v>
      </c>
      <c r="E1262" s="194"/>
    </row>
    <row r="1263" spans="1:5" ht="15.75">
      <c r="A1263" s="126"/>
      <c r="B1263" s="130" t="s">
        <v>2053</v>
      </c>
      <c r="C1263" s="181" t="s">
        <v>379</v>
      </c>
      <c r="D1263" s="181"/>
      <c r="E1263" s="186">
        <v>6990</v>
      </c>
    </row>
    <row r="1264" spans="1:5" ht="15.75">
      <c r="A1264" s="126"/>
      <c r="B1264" s="130" t="s">
        <v>2054</v>
      </c>
      <c r="C1264" s="181" t="s">
        <v>379</v>
      </c>
      <c r="D1264" s="181"/>
      <c r="E1264" s="186">
        <v>9010</v>
      </c>
    </row>
    <row r="1265" spans="1:5" ht="15.75">
      <c r="A1265" s="126"/>
      <c r="B1265" s="130" t="s">
        <v>2055</v>
      </c>
      <c r="C1265" s="181" t="s">
        <v>379</v>
      </c>
      <c r="D1265" s="181"/>
      <c r="E1265" s="186">
        <v>26550</v>
      </c>
    </row>
    <row r="1266" spans="1:5" ht="15.75">
      <c r="A1266" s="126"/>
      <c r="B1266" s="130" t="s">
        <v>2049</v>
      </c>
      <c r="C1266" s="181" t="s">
        <v>379</v>
      </c>
      <c r="D1266" s="181"/>
      <c r="E1266" s="186">
        <v>95400</v>
      </c>
    </row>
    <row r="1267" spans="1:5" ht="15.75">
      <c r="A1267" s="126"/>
      <c r="B1267" s="130" t="s">
        <v>2050</v>
      </c>
      <c r="C1267" s="181" t="s">
        <v>379</v>
      </c>
      <c r="D1267" s="181"/>
      <c r="E1267" s="186">
        <v>176740</v>
      </c>
    </row>
    <row r="1268" spans="1:5" ht="15.75">
      <c r="A1268" s="126"/>
      <c r="B1268" s="130" t="s">
        <v>2051</v>
      </c>
      <c r="C1268" s="181" t="s">
        <v>379</v>
      </c>
      <c r="D1268" s="181"/>
      <c r="E1268" s="186">
        <v>345150</v>
      </c>
    </row>
    <row r="1269" spans="1:5" ht="15.75">
      <c r="A1269" s="126"/>
      <c r="B1269" s="130" t="s">
        <v>2052</v>
      </c>
      <c r="C1269" s="181" t="s">
        <v>379</v>
      </c>
      <c r="D1269" s="181"/>
      <c r="E1269" s="186">
        <v>533930</v>
      </c>
    </row>
    <row r="1270" spans="1:5" ht="30">
      <c r="A1270" s="126" t="s">
        <v>380</v>
      </c>
      <c r="B1270" s="127" t="s">
        <v>832</v>
      </c>
      <c r="C1270" s="181"/>
      <c r="D1270" s="310" t="s">
        <v>2540</v>
      </c>
      <c r="E1270" s="188"/>
    </row>
    <row r="1271" spans="1:5" ht="15.75">
      <c r="A1271" s="126"/>
      <c r="B1271" s="130" t="s">
        <v>862</v>
      </c>
      <c r="C1271" s="181" t="s">
        <v>379</v>
      </c>
      <c r="D1271" s="181"/>
      <c r="E1271" s="186">
        <v>20040</v>
      </c>
    </row>
    <row r="1272" spans="1:5" ht="15.75">
      <c r="A1272" s="126"/>
      <c r="B1272" s="130" t="s">
        <v>863</v>
      </c>
      <c r="C1272" s="181" t="s">
        <v>379</v>
      </c>
      <c r="D1272" s="181"/>
      <c r="E1272" s="186">
        <v>42530</v>
      </c>
    </row>
    <row r="1273" spans="1:5" ht="15.75">
      <c r="A1273" s="126"/>
      <c r="B1273" s="130" t="s">
        <v>864</v>
      </c>
      <c r="C1273" s="181" t="s">
        <v>379</v>
      </c>
      <c r="D1273" s="181"/>
      <c r="E1273" s="186">
        <v>94840</v>
      </c>
    </row>
    <row r="1274" spans="1:5" ht="30">
      <c r="A1274" s="126" t="s">
        <v>380</v>
      </c>
      <c r="B1274" s="127" t="s">
        <v>833</v>
      </c>
      <c r="C1274" s="181"/>
      <c r="D1274" s="310" t="s">
        <v>2540</v>
      </c>
      <c r="E1274" s="188"/>
    </row>
    <row r="1275" spans="1:5" ht="15.75">
      <c r="A1275" s="126"/>
      <c r="B1275" s="130" t="s">
        <v>865</v>
      </c>
      <c r="C1275" s="181" t="s">
        <v>379</v>
      </c>
      <c r="D1275" s="181"/>
      <c r="E1275" s="186">
        <v>26440</v>
      </c>
    </row>
    <row r="1276" spans="1:5" ht="15.75">
      <c r="A1276" s="126"/>
      <c r="B1276" s="130" t="s">
        <v>866</v>
      </c>
      <c r="C1276" s="181" t="s">
        <v>379</v>
      </c>
      <c r="D1276" s="181"/>
      <c r="E1276" s="186">
        <v>39150</v>
      </c>
    </row>
    <row r="1277" spans="1:5" ht="15.75">
      <c r="A1277" s="126"/>
      <c r="B1277" s="130" t="s">
        <v>867</v>
      </c>
      <c r="C1277" s="181" t="s">
        <v>379</v>
      </c>
      <c r="D1277" s="181"/>
      <c r="E1277" s="186">
        <v>81680</v>
      </c>
    </row>
    <row r="1278" spans="1:5" ht="30">
      <c r="A1278" s="126" t="s">
        <v>380</v>
      </c>
      <c r="B1278" s="127" t="s">
        <v>834</v>
      </c>
      <c r="C1278" s="181"/>
      <c r="D1278" s="310" t="s">
        <v>2540</v>
      </c>
      <c r="E1278" s="188"/>
    </row>
    <row r="1279" spans="1:5" ht="15.75">
      <c r="A1279" s="126"/>
      <c r="B1279" s="130" t="s">
        <v>868</v>
      </c>
      <c r="C1279" s="181" t="s">
        <v>379</v>
      </c>
      <c r="D1279" s="181"/>
      <c r="E1279" s="186">
        <v>33640</v>
      </c>
    </row>
    <row r="1280" spans="1:5" ht="15.75">
      <c r="A1280" s="126"/>
      <c r="B1280" s="130" t="s">
        <v>869</v>
      </c>
      <c r="C1280" s="181" t="s">
        <v>379</v>
      </c>
      <c r="D1280" s="181"/>
      <c r="E1280" s="186">
        <v>49840</v>
      </c>
    </row>
    <row r="1281" spans="1:5" ht="27.75" customHeight="1">
      <c r="A1281" s="126" t="s">
        <v>380</v>
      </c>
      <c r="B1281" s="127" t="s">
        <v>836</v>
      </c>
      <c r="C1281" s="181"/>
      <c r="D1281" s="310" t="s">
        <v>2539</v>
      </c>
      <c r="E1281" s="188"/>
    </row>
    <row r="1282" spans="1:5" ht="15.75">
      <c r="A1282" s="126"/>
      <c r="B1282" s="130" t="s">
        <v>872</v>
      </c>
      <c r="C1282" s="181" t="s">
        <v>379</v>
      </c>
      <c r="D1282" s="181"/>
      <c r="E1282" s="186">
        <v>147040</v>
      </c>
    </row>
    <row r="1283" spans="1:5" ht="15.75">
      <c r="A1283" s="126"/>
      <c r="B1283" s="130" t="s">
        <v>871</v>
      </c>
      <c r="C1283" s="181" t="s">
        <v>379</v>
      </c>
      <c r="D1283" s="181"/>
      <c r="E1283" s="186">
        <v>213190</v>
      </c>
    </row>
    <row r="1284" spans="1:5" ht="15.75">
      <c r="A1284" s="126"/>
      <c r="B1284" s="130" t="s">
        <v>870</v>
      </c>
      <c r="C1284" s="181" t="s">
        <v>379</v>
      </c>
      <c r="D1284" s="181"/>
      <c r="E1284" s="186">
        <v>1116000</v>
      </c>
    </row>
    <row r="1285" spans="1:5" ht="15.75">
      <c r="A1285" s="126"/>
      <c r="B1285" s="130" t="s">
        <v>2056</v>
      </c>
      <c r="C1285" s="181" t="s">
        <v>379</v>
      </c>
      <c r="D1285" s="181"/>
      <c r="E1285" s="186">
        <v>1389150</v>
      </c>
    </row>
    <row r="1286" spans="1:5" ht="30">
      <c r="A1286" s="126" t="s">
        <v>380</v>
      </c>
      <c r="B1286" s="127" t="s">
        <v>835</v>
      </c>
      <c r="C1286" s="181"/>
      <c r="D1286" s="310" t="s">
        <v>2539</v>
      </c>
      <c r="E1286" s="188"/>
    </row>
    <row r="1287" spans="1:5" ht="15.75">
      <c r="A1287" s="126"/>
      <c r="B1287" s="130" t="s">
        <v>2057</v>
      </c>
      <c r="C1287" s="181" t="s">
        <v>379</v>
      </c>
      <c r="D1287" s="181"/>
      <c r="E1287" s="186">
        <v>261230</v>
      </c>
    </row>
    <row r="1288" spans="1:5" ht="15.75">
      <c r="A1288" s="126"/>
      <c r="B1288" s="130" t="s">
        <v>2058</v>
      </c>
      <c r="C1288" s="181" t="s">
        <v>379</v>
      </c>
      <c r="D1288" s="181"/>
      <c r="E1288" s="186">
        <v>395210</v>
      </c>
    </row>
    <row r="1289" spans="1:5" ht="15.75">
      <c r="A1289" s="126"/>
      <c r="B1289" s="130" t="s">
        <v>2059</v>
      </c>
      <c r="C1289" s="181"/>
      <c r="D1289" s="181"/>
      <c r="E1289" s="186">
        <v>722480</v>
      </c>
    </row>
    <row r="1290" spans="1:5" ht="15.75">
      <c r="A1290" s="126"/>
      <c r="B1290" s="130" t="s">
        <v>2060</v>
      </c>
      <c r="C1290" s="181" t="s">
        <v>379</v>
      </c>
      <c r="D1290" s="181"/>
      <c r="E1290" s="186">
        <v>1827790</v>
      </c>
    </row>
    <row r="1291" spans="1:5" ht="15.75">
      <c r="A1291" s="126"/>
      <c r="B1291" s="130" t="s">
        <v>2061</v>
      </c>
      <c r="C1291" s="181" t="s">
        <v>379</v>
      </c>
      <c r="D1291" s="181"/>
      <c r="E1291" s="186">
        <v>2716430</v>
      </c>
    </row>
    <row r="1292" spans="1:5" ht="30">
      <c r="A1292" s="126" t="s">
        <v>380</v>
      </c>
      <c r="B1292" s="127" t="s">
        <v>837</v>
      </c>
      <c r="C1292" s="181"/>
      <c r="D1292" s="310" t="s">
        <v>2539</v>
      </c>
      <c r="E1292" s="188"/>
    </row>
    <row r="1293" spans="1:5" ht="15.75">
      <c r="A1293" s="126"/>
      <c r="B1293" s="130" t="s">
        <v>2062</v>
      </c>
      <c r="C1293" s="181" t="s">
        <v>379</v>
      </c>
      <c r="D1293" s="181"/>
      <c r="E1293" s="186">
        <v>245590</v>
      </c>
    </row>
    <row r="1294" spans="1:5" ht="15.75">
      <c r="A1294" s="126"/>
      <c r="B1294" s="130" t="s">
        <v>2063</v>
      </c>
      <c r="C1294" s="181" t="s">
        <v>379</v>
      </c>
      <c r="D1294" s="181"/>
      <c r="E1294" s="186">
        <v>361690</v>
      </c>
    </row>
    <row r="1295" spans="1:5" ht="15.75">
      <c r="A1295" s="126"/>
      <c r="B1295" s="130" t="s">
        <v>873</v>
      </c>
      <c r="C1295" s="181" t="s">
        <v>379</v>
      </c>
      <c r="D1295" s="181"/>
      <c r="E1295" s="186">
        <v>642940</v>
      </c>
    </row>
    <row r="1296" spans="1:5" ht="15.75">
      <c r="A1296" s="126"/>
      <c r="B1296" s="130" t="s">
        <v>2064</v>
      </c>
      <c r="C1296" s="181" t="s">
        <v>379</v>
      </c>
      <c r="D1296" s="181"/>
      <c r="E1296" s="186">
        <v>1240200</v>
      </c>
    </row>
    <row r="1297" spans="1:5" ht="15.75">
      <c r="A1297" s="126"/>
      <c r="B1297" s="130" t="s">
        <v>2065</v>
      </c>
      <c r="C1297" s="181" t="s">
        <v>379</v>
      </c>
      <c r="D1297" s="181"/>
      <c r="E1297" s="186">
        <v>1635750</v>
      </c>
    </row>
    <row r="1298" spans="1:5" ht="30">
      <c r="A1298" s="132" t="s">
        <v>380</v>
      </c>
      <c r="B1298" s="306" t="s">
        <v>839</v>
      </c>
      <c r="C1298" s="306"/>
      <c r="D1298" s="310" t="s">
        <v>2539</v>
      </c>
      <c r="E1298" s="195"/>
    </row>
    <row r="1299" spans="1:5" ht="15.75">
      <c r="A1299" s="132"/>
      <c r="B1299" s="130" t="s">
        <v>874</v>
      </c>
      <c r="C1299" s="181" t="s">
        <v>379</v>
      </c>
      <c r="D1299" s="181"/>
      <c r="E1299" s="186">
        <v>130840</v>
      </c>
    </row>
    <row r="1300" spans="1:5" ht="15.75">
      <c r="A1300" s="132"/>
      <c r="B1300" s="130" t="s">
        <v>875</v>
      </c>
      <c r="C1300" s="181" t="s">
        <v>379</v>
      </c>
      <c r="D1300" s="181"/>
      <c r="E1300" s="186">
        <v>219260</v>
      </c>
    </row>
    <row r="1301" spans="1:5" ht="15.75">
      <c r="A1301" s="132"/>
      <c r="B1301" s="130" t="s">
        <v>876</v>
      </c>
      <c r="C1301" s="181" t="s">
        <v>379</v>
      </c>
      <c r="D1301" s="181"/>
      <c r="E1301" s="186">
        <v>392180</v>
      </c>
    </row>
    <row r="1302" spans="1:5" ht="15.75">
      <c r="A1302" s="132"/>
      <c r="B1302" s="130" t="s">
        <v>877</v>
      </c>
      <c r="C1302" s="181" t="s">
        <v>379</v>
      </c>
      <c r="D1302" s="181"/>
      <c r="E1302" s="186">
        <v>938810</v>
      </c>
    </row>
    <row r="1303" spans="1:5" ht="30">
      <c r="A1303" s="132" t="s">
        <v>380</v>
      </c>
      <c r="B1303" s="306" t="s">
        <v>840</v>
      </c>
      <c r="C1303" s="181"/>
      <c r="D1303" s="310" t="s">
        <v>2539</v>
      </c>
      <c r="E1303" s="188"/>
    </row>
    <row r="1304" spans="1:5" ht="15.75">
      <c r="A1304" s="132"/>
      <c r="B1304" s="130" t="s">
        <v>878</v>
      </c>
      <c r="C1304" s="181" t="s">
        <v>379</v>
      </c>
      <c r="D1304" s="181"/>
      <c r="E1304" s="186">
        <v>67390</v>
      </c>
    </row>
    <row r="1305" spans="1:5" ht="15.75">
      <c r="A1305" s="132"/>
      <c r="B1305" s="130" t="s">
        <v>879</v>
      </c>
      <c r="C1305" s="181" t="s">
        <v>379</v>
      </c>
      <c r="D1305" s="181"/>
      <c r="E1305" s="186">
        <v>118010</v>
      </c>
    </row>
    <row r="1306" spans="1:5" ht="15.75">
      <c r="A1306" s="132"/>
      <c r="B1306" s="130" t="s">
        <v>880</v>
      </c>
      <c r="C1306" s="181" t="s">
        <v>379</v>
      </c>
      <c r="D1306" s="181"/>
      <c r="E1306" s="186">
        <v>409610</v>
      </c>
    </row>
    <row r="1307" spans="1:5" ht="15.75">
      <c r="A1307" s="132"/>
      <c r="B1307" s="130" t="s">
        <v>881</v>
      </c>
      <c r="C1307" s="181" t="s">
        <v>379</v>
      </c>
      <c r="D1307" s="181"/>
      <c r="E1307" s="186">
        <v>1207800</v>
      </c>
    </row>
    <row r="1308" spans="1:5" ht="30">
      <c r="A1308" s="132" t="s">
        <v>380</v>
      </c>
      <c r="B1308" s="306" t="s">
        <v>841</v>
      </c>
      <c r="C1308" s="181"/>
      <c r="D1308" s="310" t="s">
        <v>2539</v>
      </c>
      <c r="E1308" s="188"/>
    </row>
    <row r="1309" spans="1:5" ht="15.75">
      <c r="A1309" s="132"/>
      <c r="B1309" s="130" t="s">
        <v>882</v>
      </c>
      <c r="C1309" s="181" t="s">
        <v>379</v>
      </c>
      <c r="D1309" s="181"/>
      <c r="E1309" s="186">
        <v>110700</v>
      </c>
    </row>
    <row r="1310" spans="1:5" ht="15.75">
      <c r="A1310" s="132"/>
      <c r="B1310" s="130" t="s">
        <v>900</v>
      </c>
      <c r="C1310" s="181" t="s">
        <v>379</v>
      </c>
      <c r="D1310" s="181"/>
      <c r="E1310" s="186">
        <v>227480</v>
      </c>
    </row>
    <row r="1311" spans="1:5" ht="15.75">
      <c r="A1311" s="132"/>
      <c r="B1311" s="130" t="s">
        <v>899</v>
      </c>
      <c r="C1311" s="181" t="s">
        <v>379</v>
      </c>
      <c r="D1311" s="181"/>
      <c r="E1311" s="186">
        <v>583540</v>
      </c>
    </row>
    <row r="1312" spans="1:5" ht="15.75">
      <c r="A1312" s="132"/>
      <c r="B1312" s="130" t="s">
        <v>898</v>
      </c>
      <c r="C1312" s="181" t="s">
        <v>379</v>
      </c>
      <c r="D1312" s="181"/>
      <c r="E1312" s="186">
        <v>2163040</v>
      </c>
    </row>
    <row r="1313" spans="1:5" ht="30">
      <c r="A1313" s="132" t="s">
        <v>380</v>
      </c>
      <c r="B1313" s="306" t="s">
        <v>842</v>
      </c>
      <c r="C1313" s="181"/>
      <c r="D1313" s="310" t="s">
        <v>2539</v>
      </c>
      <c r="E1313" s="188"/>
    </row>
    <row r="1314" spans="1:5" ht="15.75">
      <c r="A1314" s="132"/>
      <c r="B1314" s="130" t="s">
        <v>897</v>
      </c>
      <c r="C1314" s="181" t="s">
        <v>379</v>
      </c>
      <c r="D1314" s="181"/>
      <c r="E1314" s="186">
        <v>97880</v>
      </c>
    </row>
    <row r="1315" spans="1:5" ht="15.75">
      <c r="A1315" s="132"/>
      <c r="B1315" s="130" t="s">
        <v>896</v>
      </c>
      <c r="C1315" s="181" t="s">
        <v>379</v>
      </c>
      <c r="D1315" s="181"/>
      <c r="E1315" s="186">
        <v>273710</v>
      </c>
    </row>
    <row r="1316" spans="1:5" ht="15.75">
      <c r="A1316" s="132"/>
      <c r="B1316" s="130" t="s">
        <v>895</v>
      </c>
      <c r="C1316" s="181" t="s">
        <v>379</v>
      </c>
      <c r="D1316" s="181"/>
      <c r="E1316" s="186">
        <v>686480</v>
      </c>
    </row>
    <row r="1317" spans="1:5" ht="15.75">
      <c r="A1317" s="126"/>
      <c r="B1317" s="130" t="s">
        <v>894</v>
      </c>
      <c r="C1317" s="181" t="s">
        <v>379</v>
      </c>
      <c r="D1317" s="181"/>
      <c r="E1317" s="186">
        <v>3394130</v>
      </c>
    </row>
    <row r="1318" spans="1:5" ht="30">
      <c r="A1318" s="126" t="s">
        <v>380</v>
      </c>
      <c r="B1318" s="306" t="s">
        <v>843</v>
      </c>
      <c r="C1318" s="181"/>
      <c r="D1318" s="310" t="s">
        <v>2539</v>
      </c>
      <c r="E1318" s="188"/>
    </row>
    <row r="1319" spans="1:5" ht="15.75">
      <c r="A1319" s="126"/>
      <c r="B1319" s="130" t="s">
        <v>893</v>
      </c>
      <c r="C1319" s="181" t="s">
        <v>379</v>
      </c>
      <c r="D1319" s="181"/>
      <c r="E1319" s="186">
        <v>57260</v>
      </c>
    </row>
    <row r="1320" spans="1:5" ht="30.75" customHeight="1">
      <c r="A1320" s="126"/>
      <c r="B1320" s="130" t="s">
        <v>892</v>
      </c>
      <c r="C1320" s="181" t="s">
        <v>379</v>
      </c>
      <c r="D1320" s="181"/>
      <c r="E1320" s="186">
        <v>115090</v>
      </c>
    </row>
    <row r="1321" spans="1:5" ht="15.75">
      <c r="A1321" s="126"/>
      <c r="B1321" s="130" t="s">
        <v>891</v>
      </c>
      <c r="C1321" s="181" t="s">
        <v>379</v>
      </c>
      <c r="D1321" s="181"/>
      <c r="E1321" s="186">
        <v>309710</v>
      </c>
    </row>
    <row r="1322" spans="1:5" ht="30">
      <c r="A1322" s="132" t="s">
        <v>380</v>
      </c>
      <c r="B1322" s="127" t="s">
        <v>844</v>
      </c>
      <c r="C1322" s="192"/>
      <c r="D1322" s="310" t="s">
        <v>2539</v>
      </c>
      <c r="E1322" s="194"/>
    </row>
    <row r="1323" spans="1:5" ht="15.75">
      <c r="A1323" s="126"/>
      <c r="B1323" s="130" t="s">
        <v>890</v>
      </c>
      <c r="C1323" s="181" t="s">
        <v>379</v>
      </c>
      <c r="D1323" s="181"/>
      <c r="E1323" s="186">
        <v>21160</v>
      </c>
    </row>
    <row r="1324" spans="1:5" ht="15.75">
      <c r="A1324" s="126"/>
      <c r="B1324" s="130" t="s">
        <v>889</v>
      </c>
      <c r="C1324" s="181" t="s">
        <v>379</v>
      </c>
      <c r="D1324" s="181"/>
      <c r="E1324" s="186">
        <v>114410</v>
      </c>
    </row>
    <row r="1325" spans="1:5" ht="15.75">
      <c r="A1325" s="126"/>
      <c r="B1325" s="130" t="s">
        <v>888</v>
      </c>
      <c r="C1325" s="181" t="s">
        <v>379</v>
      </c>
      <c r="D1325" s="181"/>
      <c r="E1325" s="186">
        <v>327600</v>
      </c>
    </row>
    <row r="1326" spans="1:5" ht="15.75">
      <c r="A1326" s="126"/>
      <c r="B1326" s="130" t="s">
        <v>887</v>
      </c>
      <c r="C1326" s="181" t="s">
        <v>379</v>
      </c>
      <c r="D1326" s="181"/>
      <c r="E1326" s="186">
        <v>402530</v>
      </c>
    </row>
    <row r="1327" spans="1:5" ht="30">
      <c r="A1327" s="126" t="s">
        <v>380</v>
      </c>
      <c r="B1327" s="127" t="s">
        <v>845</v>
      </c>
      <c r="C1327" s="181"/>
      <c r="D1327" s="310" t="s">
        <v>2539</v>
      </c>
      <c r="E1327" s="188"/>
    </row>
    <row r="1328" spans="1:5" ht="15.75">
      <c r="A1328" s="126"/>
      <c r="B1328" s="130" t="s">
        <v>846</v>
      </c>
      <c r="C1328" s="181" t="s">
        <v>379</v>
      </c>
      <c r="D1328" s="181"/>
      <c r="E1328" s="186">
        <v>452925.00000000006</v>
      </c>
    </row>
    <row r="1329" spans="1:5" ht="15.75">
      <c r="A1329" s="126"/>
      <c r="B1329" s="130" t="s">
        <v>846</v>
      </c>
      <c r="C1329" s="181" t="s">
        <v>379</v>
      </c>
      <c r="D1329" s="181"/>
      <c r="E1329" s="186">
        <v>1065614</v>
      </c>
    </row>
    <row r="1330" spans="1:5" ht="15.75">
      <c r="A1330" s="196" t="s">
        <v>380</v>
      </c>
      <c r="B1330" s="127" t="s">
        <v>847</v>
      </c>
      <c r="C1330" s="181"/>
      <c r="D1330" s="181" t="s">
        <v>2541</v>
      </c>
      <c r="E1330" s="188"/>
    </row>
    <row r="1331" spans="1:5" ht="15.75">
      <c r="A1331" s="126"/>
      <c r="B1331" s="130" t="s">
        <v>883</v>
      </c>
      <c r="C1331" s="181" t="s">
        <v>379</v>
      </c>
      <c r="D1331" s="181"/>
      <c r="E1331" s="197">
        <v>7330</v>
      </c>
    </row>
    <row r="1332" spans="1:5" ht="15.75">
      <c r="A1332" s="126"/>
      <c r="B1332" s="130" t="s">
        <v>884</v>
      </c>
      <c r="C1332" s="181" t="s">
        <v>379</v>
      </c>
      <c r="D1332" s="181"/>
      <c r="E1332" s="197">
        <v>13450</v>
      </c>
    </row>
    <row r="1333" spans="1:5" ht="15.75">
      <c r="A1333" s="126"/>
      <c r="B1333" s="130" t="s">
        <v>885</v>
      </c>
      <c r="C1333" s="181" t="s">
        <v>379</v>
      </c>
      <c r="D1333" s="181"/>
      <c r="E1333" s="197">
        <v>42000</v>
      </c>
    </row>
    <row r="1334" spans="1:5" ht="15.75">
      <c r="A1334" s="126"/>
      <c r="B1334" s="130" t="s">
        <v>886</v>
      </c>
      <c r="C1334" s="181" t="s">
        <v>379</v>
      </c>
      <c r="D1334" s="181"/>
      <c r="E1334" s="197">
        <v>166800</v>
      </c>
    </row>
    <row r="1335" spans="1:5" ht="15.75">
      <c r="A1335" s="126" t="s">
        <v>380</v>
      </c>
      <c r="B1335" s="127" t="s">
        <v>848</v>
      </c>
      <c r="C1335" s="181"/>
      <c r="D1335" s="181" t="s">
        <v>2541</v>
      </c>
      <c r="E1335" s="188"/>
    </row>
    <row r="1336" spans="1:5" ht="15.75">
      <c r="A1336" s="126"/>
      <c r="B1336" s="130" t="s">
        <v>1773</v>
      </c>
      <c r="C1336" s="181" t="s">
        <v>379</v>
      </c>
      <c r="D1336" s="181"/>
      <c r="E1336" s="186">
        <v>34860</v>
      </c>
    </row>
    <row r="1337" spans="1:5" ht="15.75">
      <c r="A1337" s="126"/>
      <c r="B1337" s="130" t="s">
        <v>1774</v>
      </c>
      <c r="C1337" s="181" t="s">
        <v>379</v>
      </c>
      <c r="D1337" s="181"/>
      <c r="E1337" s="186">
        <v>173840</v>
      </c>
    </row>
    <row r="1338" spans="1:5" ht="15.75">
      <c r="A1338" s="196" t="s">
        <v>380</v>
      </c>
      <c r="B1338" s="127" t="s">
        <v>849</v>
      </c>
      <c r="C1338" s="181"/>
      <c r="D1338" s="181" t="s">
        <v>2542</v>
      </c>
      <c r="E1338" s="188"/>
    </row>
    <row r="1339" spans="1:5" ht="15.75">
      <c r="A1339" s="126"/>
      <c r="B1339" s="130" t="s">
        <v>1965</v>
      </c>
      <c r="C1339" s="181" t="s">
        <v>379</v>
      </c>
      <c r="D1339" s="181"/>
      <c r="E1339" s="186">
        <v>17640</v>
      </c>
    </row>
    <row r="1340" spans="1:5" ht="15.75">
      <c r="A1340" s="126"/>
      <c r="B1340" s="130" t="s">
        <v>1966</v>
      </c>
      <c r="C1340" s="181" t="s">
        <v>379</v>
      </c>
      <c r="D1340" s="181"/>
      <c r="E1340" s="186">
        <v>34170</v>
      </c>
    </row>
    <row r="1341" spans="1:5" ht="15.75">
      <c r="A1341" s="126"/>
      <c r="B1341" s="130" t="s">
        <v>1967</v>
      </c>
      <c r="C1341" s="181" t="s">
        <v>379</v>
      </c>
      <c r="D1341" s="181"/>
      <c r="E1341" s="186">
        <v>85070</v>
      </c>
    </row>
    <row r="1342" spans="1:5" ht="30">
      <c r="A1342" s="126" t="s">
        <v>380</v>
      </c>
      <c r="B1342" s="127" t="s">
        <v>850</v>
      </c>
      <c r="C1342" s="181"/>
      <c r="D1342" s="310" t="s">
        <v>2543</v>
      </c>
      <c r="E1342" s="188"/>
    </row>
    <row r="1343" spans="1:5" ht="15.75">
      <c r="A1343" s="126"/>
      <c r="B1343" s="130" t="s">
        <v>851</v>
      </c>
      <c r="C1343" s="181" t="s">
        <v>379</v>
      </c>
      <c r="D1343" s="181"/>
      <c r="E1343" s="186">
        <v>41000</v>
      </c>
    </row>
    <row r="1344" spans="1:5" ht="15.75">
      <c r="A1344" s="126" t="s">
        <v>380</v>
      </c>
      <c r="B1344" s="127" t="s">
        <v>852</v>
      </c>
      <c r="C1344" s="181"/>
      <c r="D1344" s="310" t="s">
        <v>2544</v>
      </c>
      <c r="E1344" s="188"/>
    </row>
    <row r="1345" spans="1:5" ht="15.75">
      <c r="A1345" s="126"/>
      <c r="B1345" s="130" t="s">
        <v>853</v>
      </c>
      <c r="C1345" s="181" t="s">
        <v>857</v>
      </c>
      <c r="D1345" s="181"/>
      <c r="E1345" s="186">
        <v>20420</v>
      </c>
    </row>
    <row r="1346" spans="1:5" ht="15.75">
      <c r="A1346" s="126"/>
      <c r="B1346" s="130" t="s">
        <v>854</v>
      </c>
      <c r="C1346" s="181" t="s">
        <v>857</v>
      </c>
      <c r="D1346" s="181"/>
      <c r="E1346" s="186">
        <v>23700</v>
      </c>
    </row>
    <row r="1347" spans="1:5" ht="15.75">
      <c r="A1347" s="126"/>
      <c r="B1347" s="130" t="s">
        <v>855</v>
      </c>
      <c r="C1347" s="181" t="s">
        <v>858</v>
      </c>
      <c r="D1347" s="181"/>
      <c r="E1347" s="186">
        <v>190880</v>
      </c>
    </row>
    <row r="1348" spans="1:5" ht="15.75">
      <c r="A1348" s="126"/>
      <c r="B1348" s="130" t="s">
        <v>856</v>
      </c>
      <c r="C1348" s="181" t="s">
        <v>858</v>
      </c>
      <c r="D1348" s="181"/>
      <c r="E1348" s="186">
        <v>265100</v>
      </c>
    </row>
    <row r="1349" spans="1:5" ht="30">
      <c r="A1349" s="196" t="s">
        <v>380</v>
      </c>
      <c r="B1349" s="127" t="s">
        <v>901</v>
      </c>
      <c r="C1349" s="181"/>
      <c r="D1349" s="181" t="s">
        <v>2545</v>
      </c>
      <c r="E1349" s="188"/>
    </row>
    <row r="1350" spans="1:5" ht="15.75">
      <c r="A1350" s="126"/>
      <c r="B1350" s="130" t="s">
        <v>902</v>
      </c>
      <c r="C1350" s="181" t="s">
        <v>379</v>
      </c>
      <c r="D1350" s="181"/>
      <c r="E1350" s="186">
        <v>102490</v>
      </c>
    </row>
    <row r="1351" spans="1:5" ht="15.75">
      <c r="A1351" s="126"/>
      <c r="B1351" s="130" t="s">
        <v>903</v>
      </c>
      <c r="C1351" s="181" t="s">
        <v>379</v>
      </c>
      <c r="D1351" s="181"/>
      <c r="E1351" s="186">
        <v>890330</v>
      </c>
    </row>
    <row r="1352" spans="1:5" ht="15" customHeight="1">
      <c r="A1352" s="131" t="s">
        <v>1267</v>
      </c>
      <c r="B1352" s="145" t="s">
        <v>819</v>
      </c>
      <c r="C1352" s="181"/>
      <c r="D1352" s="181"/>
      <c r="E1352" s="188"/>
    </row>
    <row r="1353" spans="1:5" ht="42.75" customHeight="1">
      <c r="A1353" s="126"/>
      <c r="B1353" s="198" t="s">
        <v>801</v>
      </c>
      <c r="C1353" s="181"/>
      <c r="D1353" s="181"/>
      <c r="E1353" s="188"/>
    </row>
    <row r="1354" spans="1:5" ht="15.75">
      <c r="A1354" s="131" t="s">
        <v>380</v>
      </c>
      <c r="B1354" s="127" t="s">
        <v>2066</v>
      </c>
      <c r="C1354" s="181"/>
      <c r="D1354" s="181" t="s">
        <v>2546</v>
      </c>
      <c r="E1354" s="188"/>
    </row>
    <row r="1355" spans="1:5" ht="15.75">
      <c r="A1355" s="126"/>
      <c r="B1355" s="198" t="s">
        <v>2067</v>
      </c>
      <c r="C1355" s="181" t="s">
        <v>595</v>
      </c>
      <c r="D1355" s="181"/>
      <c r="E1355" s="188">
        <v>416921</v>
      </c>
    </row>
    <row r="1356" spans="1:5" ht="14.25" customHeight="1">
      <c r="A1356" s="126"/>
      <c r="B1356" s="198" t="s">
        <v>2068</v>
      </c>
      <c r="C1356" s="181" t="s">
        <v>595</v>
      </c>
      <c r="D1356" s="181"/>
      <c r="E1356" s="188">
        <v>412136</v>
      </c>
    </row>
    <row r="1357" spans="1:5" ht="15.75">
      <c r="A1357" s="126"/>
      <c r="B1357" s="198" t="s">
        <v>2069</v>
      </c>
      <c r="C1357" s="181" t="s">
        <v>595</v>
      </c>
      <c r="D1357" s="181"/>
      <c r="E1357" s="188">
        <v>412044</v>
      </c>
    </row>
    <row r="1358" spans="1:5" ht="15.75">
      <c r="A1358" s="126"/>
      <c r="B1358" s="198" t="s">
        <v>2070</v>
      </c>
      <c r="C1358" s="181" t="s">
        <v>595</v>
      </c>
      <c r="D1358" s="181"/>
      <c r="E1358" s="188">
        <v>411773</v>
      </c>
    </row>
    <row r="1359" spans="1:5" ht="15.75">
      <c r="A1359" s="126"/>
      <c r="B1359" s="198" t="s">
        <v>2071</v>
      </c>
      <c r="C1359" s="181" t="s">
        <v>595</v>
      </c>
      <c r="D1359" s="181"/>
      <c r="E1359" s="188">
        <v>412650</v>
      </c>
    </row>
    <row r="1360" spans="1:5" ht="18.75" customHeight="1">
      <c r="A1360" s="126"/>
      <c r="B1360" s="198" t="s">
        <v>2072</v>
      </c>
      <c r="C1360" s="181" t="s">
        <v>595</v>
      </c>
      <c r="D1360" s="181"/>
      <c r="E1360" s="188">
        <v>412112</v>
      </c>
    </row>
    <row r="1361" spans="1:5" ht="15.75">
      <c r="A1361" s="126"/>
      <c r="B1361" s="198" t="s">
        <v>2073</v>
      </c>
      <c r="C1361" s="181" t="s">
        <v>595</v>
      </c>
      <c r="D1361" s="181"/>
      <c r="E1361" s="188">
        <v>412019</v>
      </c>
    </row>
    <row r="1362" spans="1:5" ht="16.5" customHeight="1">
      <c r="A1362" s="131" t="s">
        <v>380</v>
      </c>
      <c r="B1362" s="199" t="s">
        <v>2264</v>
      </c>
      <c r="C1362" s="181"/>
      <c r="D1362" s="181" t="s">
        <v>2547</v>
      </c>
      <c r="E1362" s="188"/>
    </row>
    <row r="1363" spans="1:5" ht="15.75">
      <c r="A1363" s="126"/>
      <c r="B1363" s="198" t="s">
        <v>2074</v>
      </c>
      <c r="C1363" s="181" t="s">
        <v>379</v>
      </c>
      <c r="D1363" s="181"/>
      <c r="E1363" s="188">
        <v>59742</v>
      </c>
    </row>
    <row r="1364" spans="1:5" ht="15.75">
      <c r="A1364" s="126"/>
      <c r="B1364" s="198" t="s">
        <v>2075</v>
      </c>
      <c r="C1364" s="181" t="s">
        <v>379</v>
      </c>
      <c r="D1364" s="181"/>
      <c r="E1364" s="188">
        <v>92409</v>
      </c>
    </row>
    <row r="1365" spans="1:5" ht="15.75">
      <c r="A1365" s="126"/>
      <c r="B1365" s="198" t="s">
        <v>2076</v>
      </c>
      <c r="C1365" s="181" t="s">
        <v>379</v>
      </c>
      <c r="D1365" s="181"/>
      <c r="E1365" s="188">
        <v>128734</v>
      </c>
    </row>
    <row r="1366" spans="1:5" ht="15.75">
      <c r="A1366" s="126"/>
      <c r="B1366" s="198" t="s">
        <v>2077</v>
      </c>
      <c r="C1366" s="181" t="s">
        <v>379</v>
      </c>
      <c r="D1366" s="181"/>
      <c r="E1366" s="188">
        <v>177021</v>
      </c>
    </row>
    <row r="1367" spans="1:5" ht="15.75">
      <c r="A1367" s="126"/>
      <c r="B1367" s="198" t="s">
        <v>2078</v>
      </c>
      <c r="C1367" s="181" t="s">
        <v>379</v>
      </c>
      <c r="D1367" s="181"/>
      <c r="E1367" s="188">
        <v>250957</v>
      </c>
    </row>
    <row r="1368" spans="1:5" ht="15.75">
      <c r="A1368" s="126"/>
      <c r="B1368" s="198" t="s">
        <v>2079</v>
      </c>
      <c r="C1368" s="181" t="s">
        <v>379</v>
      </c>
      <c r="D1368" s="181"/>
      <c r="E1368" s="188">
        <v>350221</v>
      </c>
    </row>
    <row r="1369" spans="1:5" ht="15.75">
      <c r="A1369" s="126"/>
      <c r="B1369" s="198" t="s">
        <v>2080</v>
      </c>
      <c r="C1369" s="181" t="s">
        <v>379</v>
      </c>
      <c r="D1369" s="181"/>
      <c r="E1369" s="188">
        <v>438442</v>
      </c>
    </row>
    <row r="1370" spans="1:5" ht="15.75">
      <c r="A1370" s="126"/>
      <c r="B1370" s="198" t="s">
        <v>2081</v>
      </c>
      <c r="C1370" s="181" t="s">
        <v>379</v>
      </c>
      <c r="D1370" s="181"/>
      <c r="E1370" s="188">
        <v>546396</v>
      </c>
    </row>
    <row r="1371" spans="1:5" ht="15.75">
      <c r="A1371" s="126"/>
      <c r="B1371" s="198" t="s">
        <v>2082</v>
      </c>
      <c r="C1371" s="181" t="s">
        <v>379</v>
      </c>
      <c r="D1371" s="181"/>
      <c r="E1371" s="188">
        <v>680175</v>
      </c>
    </row>
    <row r="1372" spans="1:5" ht="15.75">
      <c r="A1372" s="126"/>
      <c r="B1372" s="198" t="s">
        <v>2083</v>
      </c>
      <c r="C1372" s="181" t="s">
        <v>379</v>
      </c>
      <c r="D1372" s="181"/>
      <c r="E1372" s="188">
        <v>895791</v>
      </c>
    </row>
    <row r="1373" spans="1:5" ht="15.75">
      <c r="A1373" s="131" t="s">
        <v>380</v>
      </c>
      <c r="B1373" s="127" t="s">
        <v>2265</v>
      </c>
      <c r="C1373" s="181"/>
      <c r="D1373" s="181" t="s">
        <v>2545</v>
      </c>
      <c r="E1373" s="188"/>
    </row>
    <row r="1374" spans="1:5" ht="15.75">
      <c r="A1374" s="126"/>
      <c r="B1374" s="198" t="s">
        <v>1554</v>
      </c>
      <c r="C1374" s="181" t="s">
        <v>379</v>
      </c>
      <c r="D1374" s="181"/>
      <c r="E1374" s="188">
        <v>179056</v>
      </c>
    </row>
    <row r="1375" spans="1:5" ht="15.75">
      <c r="A1375" s="126"/>
      <c r="B1375" s="198" t="s">
        <v>802</v>
      </c>
      <c r="C1375" s="181" t="s">
        <v>379</v>
      </c>
      <c r="D1375" s="181"/>
      <c r="E1375" s="188">
        <v>253513</v>
      </c>
    </row>
    <row r="1376" spans="1:5" ht="15.75">
      <c r="A1376" s="126"/>
      <c r="B1376" s="198" t="s">
        <v>1555</v>
      </c>
      <c r="C1376" s="181" t="s">
        <v>379</v>
      </c>
      <c r="D1376" s="181"/>
      <c r="E1376" s="188">
        <v>352445</v>
      </c>
    </row>
    <row r="1377" spans="1:5" ht="15.75">
      <c r="A1377" s="126"/>
      <c r="B1377" s="198" t="s">
        <v>1556</v>
      </c>
      <c r="C1377" s="181" t="s">
        <v>379</v>
      </c>
      <c r="D1377" s="181"/>
      <c r="E1377" s="188">
        <v>441670</v>
      </c>
    </row>
    <row r="1378" spans="1:5" ht="15.75">
      <c r="A1378" s="126"/>
      <c r="B1378" s="198" t="s">
        <v>1557</v>
      </c>
      <c r="C1378" s="181" t="s">
        <v>379</v>
      </c>
      <c r="D1378" s="181"/>
      <c r="E1378" s="188">
        <v>549802</v>
      </c>
    </row>
    <row r="1379" spans="1:5" ht="15.75">
      <c r="A1379" s="126"/>
      <c r="B1379" s="198" t="s">
        <v>1558</v>
      </c>
      <c r="C1379" s="181" t="s">
        <v>379</v>
      </c>
      <c r="D1379" s="181"/>
      <c r="E1379" s="188">
        <v>683787</v>
      </c>
    </row>
    <row r="1380" spans="1:5" ht="15.75">
      <c r="A1380" s="126"/>
      <c r="B1380" s="198" t="s">
        <v>2084</v>
      </c>
      <c r="C1380" s="181" t="s">
        <v>379</v>
      </c>
      <c r="D1380" s="181"/>
      <c r="E1380" s="188">
        <v>899961</v>
      </c>
    </row>
    <row r="1381" spans="1:5" ht="15.75">
      <c r="A1381" s="126"/>
      <c r="B1381" s="198" t="s">
        <v>2085</v>
      </c>
      <c r="C1381" s="181" t="s">
        <v>379</v>
      </c>
      <c r="D1381" s="181"/>
      <c r="E1381" s="188">
        <v>1124796</v>
      </c>
    </row>
    <row r="1382" spans="1:5" ht="15.75">
      <c r="A1382" s="126"/>
      <c r="B1382" s="198" t="s">
        <v>2086</v>
      </c>
      <c r="C1382" s="181" t="s">
        <v>379</v>
      </c>
      <c r="D1382" s="181"/>
      <c r="E1382" s="188">
        <v>1456049</v>
      </c>
    </row>
    <row r="1383" spans="1:5" ht="15.75">
      <c r="A1383" s="126"/>
      <c r="B1383" s="198" t="s">
        <v>2087</v>
      </c>
      <c r="C1383" s="181" t="s">
        <v>379</v>
      </c>
      <c r="D1383" s="181"/>
      <c r="E1383" s="188">
        <v>54094</v>
      </c>
    </row>
    <row r="1384" spans="1:5" ht="15.75">
      <c r="A1384" s="126"/>
      <c r="B1384" s="198" t="s">
        <v>2088</v>
      </c>
      <c r="C1384" s="181" t="s">
        <v>379</v>
      </c>
      <c r="D1384" s="181"/>
      <c r="E1384" s="188">
        <v>83778</v>
      </c>
    </row>
    <row r="1385" spans="1:5" ht="15.75">
      <c r="A1385" s="126"/>
      <c r="B1385" s="198" t="s">
        <v>2089</v>
      </c>
      <c r="C1385" s="181" t="s">
        <v>379</v>
      </c>
      <c r="D1385" s="181"/>
      <c r="E1385" s="188">
        <v>128337</v>
      </c>
    </row>
    <row r="1386" spans="1:5" ht="15.75">
      <c r="A1386" s="126"/>
      <c r="B1386" s="198" t="s">
        <v>2090</v>
      </c>
      <c r="C1386" s="181" t="s">
        <v>379</v>
      </c>
      <c r="D1386" s="181"/>
      <c r="E1386" s="188">
        <v>197227</v>
      </c>
    </row>
    <row r="1387" spans="1:5" ht="15.75">
      <c r="A1387" s="126"/>
      <c r="B1387" s="198" t="s">
        <v>2091</v>
      </c>
      <c r="C1387" s="181" t="s">
        <v>379</v>
      </c>
      <c r="D1387" s="181"/>
      <c r="E1387" s="188">
        <v>123646</v>
      </c>
    </row>
    <row r="1388" spans="1:5" ht="15.75">
      <c r="A1388" s="126"/>
      <c r="B1388" s="198" t="s">
        <v>2092</v>
      </c>
      <c r="C1388" s="181" t="s">
        <v>379</v>
      </c>
      <c r="D1388" s="181"/>
      <c r="E1388" s="188">
        <v>188681</v>
      </c>
    </row>
    <row r="1389" spans="1:5" ht="15.75">
      <c r="A1389" s="126"/>
      <c r="B1389" s="198" t="s">
        <v>2093</v>
      </c>
      <c r="C1389" s="181" t="s">
        <v>379</v>
      </c>
      <c r="D1389" s="181"/>
      <c r="E1389" s="188">
        <v>291231</v>
      </c>
    </row>
    <row r="1390" spans="1:5" ht="15.75">
      <c r="A1390" s="126"/>
      <c r="B1390" s="198" t="s">
        <v>1569</v>
      </c>
      <c r="C1390" s="181" t="s">
        <v>379</v>
      </c>
      <c r="D1390" s="181"/>
      <c r="E1390" s="188">
        <v>162350</v>
      </c>
    </row>
    <row r="1391" spans="1:5" ht="15.75">
      <c r="A1391" s="126"/>
      <c r="B1391" s="198" t="s">
        <v>1570</v>
      </c>
      <c r="C1391" s="181" t="s">
        <v>379</v>
      </c>
      <c r="D1391" s="181"/>
      <c r="E1391" s="188">
        <v>248700</v>
      </c>
    </row>
    <row r="1392" spans="1:5" ht="15.75">
      <c r="A1392" s="126"/>
      <c r="B1392" s="198" t="s">
        <v>1571</v>
      </c>
      <c r="C1392" s="181" t="s">
        <v>379</v>
      </c>
      <c r="D1392" s="181"/>
      <c r="E1392" s="188">
        <v>385326</v>
      </c>
    </row>
    <row r="1393" spans="1:5" ht="15.75">
      <c r="A1393" s="126"/>
      <c r="B1393" s="198" t="s">
        <v>1572</v>
      </c>
      <c r="C1393" s="181" t="s">
        <v>379</v>
      </c>
      <c r="D1393" s="181"/>
      <c r="E1393" s="188">
        <v>532980</v>
      </c>
    </row>
    <row r="1394" spans="1:5" ht="15.75">
      <c r="A1394" s="126"/>
      <c r="B1394" s="198" t="s">
        <v>1573</v>
      </c>
      <c r="C1394" s="181" t="s">
        <v>379</v>
      </c>
      <c r="D1394" s="181"/>
      <c r="E1394" s="188">
        <v>731781</v>
      </c>
    </row>
    <row r="1395" spans="1:5" ht="15.75">
      <c r="A1395" s="126"/>
      <c r="B1395" s="198" t="s">
        <v>803</v>
      </c>
      <c r="C1395" s="181" t="s">
        <v>379</v>
      </c>
      <c r="D1395" s="181"/>
      <c r="E1395" s="188">
        <v>1037129</v>
      </c>
    </row>
    <row r="1396" spans="1:5" ht="15.75">
      <c r="A1396" s="126"/>
      <c r="B1396" s="198" t="s">
        <v>1574</v>
      </c>
      <c r="C1396" s="181" t="s">
        <v>379</v>
      </c>
      <c r="D1396" s="181"/>
      <c r="E1396" s="188">
        <v>1426439</v>
      </c>
    </row>
    <row r="1397" spans="1:5" ht="15.75">
      <c r="A1397" s="126"/>
      <c r="B1397" s="198" t="s">
        <v>1575</v>
      </c>
      <c r="C1397" s="181" t="s">
        <v>379</v>
      </c>
      <c r="D1397" s="181"/>
      <c r="E1397" s="188">
        <v>1786532</v>
      </c>
    </row>
    <row r="1398" spans="1:5" ht="15.75">
      <c r="A1398" s="126"/>
      <c r="B1398" s="198" t="s">
        <v>1576</v>
      </c>
      <c r="C1398" s="181" t="s">
        <v>379</v>
      </c>
      <c r="D1398" s="181"/>
      <c r="E1398" s="188">
        <v>2224415</v>
      </c>
    </row>
    <row r="1399" spans="1:5" ht="15.75">
      <c r="A1399" s="126"/>
      <c r="B1399" s="198" t="s">
        <v>1577</v>
      </c>
      <c r="C1399" s="181" t="s">
        <v>379</v>
      </c>
      <c r="D1399" s="181"/>
      <c r="E1399" s="188">
        <v>2765613</v>
      </c>
    </row>
    <row r="1400" spans="1:5" ht="15.75">
      <c r="A1400" s="126"/>
      <c r="B1400" s="198" t="s">
        <v>2094</v>
      </c>
      <c r="C1400" s="181" t="s">
        <v>379</v>
      </c>
      <c r="D1400" s="181"/>
      <c r="E1400" s="188">
        <v>3635348</v>
      </c>
    </row>
    <row r="1401" spans="1:5" ht="15.75">
      <c r="A1401" s="131" t="s">
        <v>380</v>
      </c>
      <c r="B1401" s="127" t="s">
        <v>2266</v>
      </c>
      <c r="C1401" s="181"/>
      <c r="D1401" s="181" t="s">
        <v>2545</v>
      </c>
      <c r="E1401" s="188"/>
    </row>
    <row r="1402" spans="1:5" ht="15.75">
      <c r="A1402" s="126"/>
      <c r="B1402" s="198" t="s">
        <v>2095</v>
      </c>
      <c r="C1402" s="181" t="s">
        <v>379</v>
      </c>
      <c r="D1402" s="181"/>
      <c r="E1402" s="188">
        <v>47712</v>
      </c>
    </row>
    <row r="1403" spans="1:5" ht="15.75">
      <c r="A1403" s="126"/>
      <c r="B1403" s="198" t="s">
        <v>2096</v>
      </c>
      <c r="C1403" s="181" t="s">
        <v>379</v>
      </c>
      <c r="D1403" s="181"/>
      <c r="E1403" s="188">
        <v>64448</v>
      </c>
    </row>
    <row r="1404" spans="1:5" ht="15.75">
      <c r="A1404" s="126"/>
      <c r="B1404" s="198" t="s">
        <v>2097</v>
      </c>
      <c r="C1404" s="181" t="s">
        <v>379</v>
      </c>
      <c r="D1404" s="181"/>
      <c r="E1404" s="188">
        <v>140541</v>
      </c>
    </row>
    <row r="1405" spans="1:5" ht="15.75">
      <c r="A1405" s="131" t="s">
        <v>380</v>
      </c>
      <c r="B1405" s="127" t="s">
        <v>2267</v>
      </c>
      <c r="C1405" s="181"/>
      <c r="D1405" s="181" t="s">
        <v>2545</v>
      </c>
      <c r="E1405" s="188"/>
    </row>
    <row r="1406" spans="1:5" ht="15.75">
      <c r="A1406" s="126"/>
      <c r="B1406" s="198" t="s">
        <v>2098</v>
      </c>
      <c r="C1406" s="181" t="s">
        <v>379</v>
      </c>
      <c r="D1406" s="181"/>
      <c r="E1406" s="188">
        <v>468198</v>
      </c>
    </row>
    <row r="1407" spans="1:5" ht="15.75">
      <c r="A1407" s="126"/>
      <c r="B1407" s="198" t="s">
        <v>2099</v>
      </c>
      <c r="C1407" s="181" t="s">
        <v>379</v>
      </c>
      <c r="D1407" s="181"/>
      <c r="E1407" s="188">
        <v>578686</v>
      </c>
    </row>
    <row r="1408" spans="1:5" ht="15.75">
      <c r="A1408" s="126"/>
      <c r="B1408" s="198" t="s">
        <v>2100</v>
      </c>
      <c r="C1408" s="181" t="s">
        <v>379</v>
      </c>
      <c r="D1408" s="181"/>
      <c r="E1408" s="188">
        <v>714810</v>
      </c>
    </row>
    <row r="1409" spans="1:5" ht="15.75">
      <c r="A1409" s="126"/>
      <c r="B1409" s="198" t="s">
        <v>2101</v>
      </c>
      <c r="C1409" s="181" t="s">
        <v>379</v>
      </c>
      <c r="D1409" s="181"/>
      <c r="E1409" s="188">
        <v>934818</v>
      </c>
    </row>
    <row r="1410" spans="1:5" ht="15.75">
      <c r="A1410" s="126"/>
      <c r="B1410" s="198" t="s">
        <v>2102</v>
      </c>
      <c r="C1410" s="181" t="s">
        <v>379</v>
      </c>
      <c r="D1410" s="181"/>
      <c r="E1410" s="188">
        <v>1165131</v>
      </c>
    </row>
    <row r="1411" spans="1:5" ht="15.75">
      <c r="A1411" s="126"/>
      <c r="B1411" s="198" t="s">
        <v>2103</v>
      </c>
      <c r="C1411" s="181" t="s">
        <v>379</v>
      </c>
      <c r="D1411" s="181"/>
      <c r="E1411" s="188">
        <v>1502527</v>
      </c>
    </row>
    <row r="1412" spans="1:5" ht="15.75">
      <c r="A1412" s="131" t="s">
        <v>380</v>
      </c>
      <c r="B1412" s="127" t="s">
        <v>2268</v>
      </c>
      <c r="C1412" s="181"/>
      <c r="D1412" s="181" t="s">
        <v>2545</v>
      </c>
      <c r="E1412" s="188"/>
    </row>
    <row r="1413" spans="1:5" ht="15.75">
      <c r="A1413" s="126"/>
      <c r="B1413" s="198" t="s">
        <v>1580</v>
      </c>
      <c r="C1413" s="181" t="s">
        <v>379</v>
      </c>
      <c r="D1413" s="181"/>
      <c r="E1413" s="188">
        <v>66172</v>
      </c>
    </row>
    <row r="1414" spans="1:5" ht="15.75">
      <c r="A1414" s="126"/>
      <c r="B1414" s="198" t="s">
        <v>1581</v>
      </c>
      <c r="C1414" s="181" t="s">
        <v>379</v>
      </c>
      <c r="D1414" s="181"/>
      <c r="E1414" s="188">
        <v>97428</v>
      </c>
    </row>
    <row r="1415" spans="1:5" ht="15.75">
      <c r="A1415" s="126"/>
      <c r="B1415" s="198" t="s">
        <v>1582</v>
      </c>
      <c r="C1415" s="181" t="s">
        <v>379</v>
      </c>
      <c r="D1415" s="181"/>
      <c r="E1415" s="188">
        <v>144268</v>
      </c>
    </row>
    <row r="1416" spans="1:5" ht="15.75">
      <c r="A1416" s="126"/>
      <c r="B1416" s="198" t="s">
        <v>1603</v>
      </c>
      <c r="C1416" s="181" t="s">
        <v>379</v>
      </c>
      <c r="D1416" s="181"/>
      <c r="E1416" s="188">
        <v>176869</v>
      </c>
    </row>
    <row r="1417" spans="1:5" ht="15.75">
      <c r="A1417" s="126"/>
      <c r="B1417" s="198" t="s">
        <v>1604</v>
      </c>
      <c r="C1417" s="181" t="s">
        <v>379</v>
      </c>
      <c r="D1417" s="181"/>
      <c r="E1417" s="188">
        <v>267490</v>
      </c>
    </row>
    <row r="1418" spans="1:5" ht="15.75">
      <c r="A1418" s="126"/>
      <c r="B1418" s="198" t="s">
        <v>1605</v>
      </c>
      <c r="C1418" s="181" t="s">
        <v>379</v>
      </c>
      <c r="D1418" s="181"/>
      <c r="E1418" s="188">
        <v>403795</v>
      </c>
    </row>
    <row r="1419" spans="1:5" ht="15.75">
      <c r="A1419" s="126"/>
      <c r="B1419" s="198" t="s">
        <v>1606</v>
      </c>
      <c r="C1419" s="181" t="s">
        <v>379</v>
      </c>
      <c r="D1419" s="181"/>
      <c r="E1419" s="188">
        <v>554534</v>
      </c>
    </row>
    <row r="1420" spans="1:5" ht="15.75">
      <c r="A1420" s="126"/>
      <c r="B1420" s="198" t="s">
        <v>1607</v>
      </c>
      <c r="C1420" s="181" t="s">
        <v>379</v>
      </c>
      <c r="D1420" s="181"/>
      <c r="E1420" s="188">
        <v>756057</v>
      </c>
    </row>
    <row r="1421" spans="1:5" ht="15.75">
      <c r="A1421" s="126"/>
      <c r="B1421" s="198" t="s">
        <v>1608</v>
      </c>
      <c r="C1421" s="181" t="s">
        <v>379</v>
      </c>
      <c r="D1421" s="181"/>
      <c r="E1421" s="188">
        <v>1076648</v>
      </c>
    </row>
    <row r="1422" spans="1:5" ht="15.75">
      <c r="A1422" s="126"/>
      <c r="B1422" s="198" t="s">
        <v>1609</v>
      </c>
      <c r="C1422" s="181" t="s">
        <v>379</v>
      </c>
      <c r="D1422" s="181"/>
      <c r="E1422" s="188">
        <v>1468772</v>
      </c>
    </row>
    <row r="1423" spans="1:5" ht="15.75">
      <c r="A1423" s="126"/>
      <c r="B1423" s="198" t="s">
        <v>1610</v>
      </c>
      <c r="C1423" s="181" t="s">
        <v>379</v>
      </c>
      <c r="D1423" s="181"/>
      <c r="E1423" s="188">
        <v>1836178</v>
      </c>
    </row>
    <row r="1424" spans="1:5" ht="15.75">
      <c r="A1424" s="126"/>
      <c r="B1424" s="198" t="s">
        <v>1611</v>
      </c>
      <c r="C1424" s="181" t="s">
        <v>379</v>
      </c>
      <c r="D1424" s="181"/>
      <c r="E1424" s="188">
        <v>2280783</v>
      </c>
    </row>
    <row r="1425" spans="1:5" ht="15.75">
      <c r="A1425" s="126"/>
      <c r="B1425" s="198" t="s">
        <v>1612</v>
      </c>
      <c r="C1425" s="181" t="s">
        <v>379</v>
      </c>
      <c r="D1425" s="181"/>
      <c r="E1425" s="188">
        <v>2831554</v>
      </c>
    </row>
    <row r="1426" spans="1:5" ht="15.75">
      <c r="A1426" s="131" t="s">
        <v>380</v>
      </c>
      <c r="B1426" s="127" t="s">
        <v>2269</v>
      </c>
      <c r="C1426" s="181"/>
      <c r="D1426" s="181" t="s">
        <v>2548</v>
      </c>
      <c r="E1426" s="188"/>
    </row>
    <row r="1427" spans="1:5" ht="15.75">
      <c r="A1427" s="126"/>
      <c r="B1427" s="198" t="s">
        <v>2104</v>
      </c>
      <c r="C1427" s="181" t="s">
        <v>379</v>
      </c>
      <c r="D1427" s="181"/>
      <c r="E1427" s="188">
        <v>2464</v>
      </c>
    </row>
    <row r="1428" spans="1:5" ht="15.75">
      <c r="A1428" s="126"/>
      <c r="B1428" s="198" t="s">
        <v>2105</v>
      </c>
      <c r="C1428" s="181" t="s">
        <v>379</v>
      </c>
      <c r="D1428" s="181"/>
      <c r="E1428" s="188">
        <v>3522</v>
      </c>
    </row>
    <row r="1429" spans="1:5" ht="15.75">
      <c r="A1429" s="126"/>
      <c r="B1429" s="198" t="s">
        <v>2106</v>
      </c>
      <c r="C1429" s="181" t="s">
        <v>379</v>
      </c>
      <c r="D1429" s="181"/>
      <c r="E1429" s="188">
        <v>4354</v>
      </c>
    </row>
    <row r="1430" spans="1:5" ht="15.75">
      <c r="A1430" s="131" t="s">
        <v>380</v>
      </c>
      <c r="B1430" s="127" t="s">
        <v>2270</v>
      </c>
      <c r="C1430" s="181"/>
      <c r="D1430" s="181" t="s">
        <v>2548</v>
      </c>
      <c r="E1430" s="188"/>
    </row>
    <row r="1431" spans="1:5" ht="15.75">
      <c r="A1431" s="126"/>
      <c r="B1431" s="198" t="s">
        <v>806</v>
      </c>
      <c r="C1431" s="181" t="s">
        <v>379</v>
      </c>
      <c r="D1431" s="181"/>
      <c r="E1431" s="188">
        <v>6225</v>
      </c>
    </row>
    <row r="1432" spans="1:5" ht="15.75">
      <c r="A1432" s="126"/>
      <c r="B1432" s="198" t="s">
        <v>1515</v>
      </c>
      <c r="C1432" s="181" t="s">
        <v>379</v>
      </c>
      <c r="D1432" s="181"/>
      <c r="E1432" s="188">
        <v>10108</v>
      </c>
    </row>
    <row r="1433" spans="1:5" ht="15.75">
      <c r="A1433" s="126"/>
      <c r="B1433" s="198" t="s">
        <v>1517</v>
      </c>
      <c r="C1433" s="181" t="s">
        <v>379</v>
      </c>
      <c r="D1433" s="181"/>
      <c r="E1433" s="188">
        <v>16011</v>
      </c>
    </row>
    <row r="1434" spans="1:5" ht="15.75">
      <c r="A1434" s="126"/>
      <c r="B1434" s="198" t="s">
        <v>1518</v>
      </c>
      <c r="C1434" s="181" t="s">
        <v>379</v>
      </c>
      <c r="D1434" s="181"/>
      <c r="E1434" s="188">
        <v>24375</v>
      </c>
    </row>
    <row r="1435" spans="1:5" ht="15.75">
      <c r="A1435" s="126"/>
      <c r="B1435" s="198" t="s">
        <v>2107</v>
      </c>
      <c r="C1435" s="181" t="s">
        <v>379</v>
      </c>
      <c r="D1435" s="181"/>
      <c r="E1435" s="188">
        <v>43131</v>
      </c>
    </row>
    <row r="1436" spans="1:5" ht="22.5" customHeight="1">
      <c r="A1436" s="131" t="s">
        <v>380</v>
      </c>
      <c r="B1436" s="199" t="s">
        <v>2271</v>
      </c>
      <c r="C1436" s="181"/>
      <c r="D1436" s="181" t="s">
        <v>2549</v>
      </c>
      <c r="E1436" s="188"/>
    </row>
    <row r="1437" spans="1:5" ht="15.75">
      <c r="A1437" s="126"/>
      <c r="B1437" s="198" t="s">
        <v>2108</v>
      </c>
      <c r="C1437" s="181" t="s">
        <v>379</v>
      </c>
      <c r="D1437" s="181"/>
      <c r="E1437" s="188">
        <v>6666</v>
      </c>
    </row>
    <row r="1438" spans="1:5" ht="15.75">
      <c r="A1438" s="126"/>
      <c r="B1438" s="198" t="s">
        <v>2109</v>
      </c>
      <c r="C1438" s="181" t="s">
        <v>379</v>
      </c>
      <c r="D1438" s="181"/>
      <c r="E1438" s="188">
        <v>10677</v>
      </c>
    </row>
    <row r="1439" spans="1:5" ht="15.75">
      <c r="A1439" s="126"/>
      <c r="B1439" s="198" t="s">
        <v>2110</v>
      </c>
      <c r="C1439" s="181" t="s">
        <v>379</v>
      </c>
      <c r="D1439" s="181"/>
      <c r="E1439" s="188">
        <v>16786</v>
      </c>
    </row>
    <row r="1440" spans="1:5" ht="15.75">
      <c r="A1440" s="126"/>
      <c r="B1440" s="198" t="s">
        <v>2111</v>
      </c>
      <c r="C1440" s="181" t="s">
        <v>379</v>
      </c>
      <c r="D1440" s="181"/>
      <c r="E1440" s="188">
        <v>24619</v>
      </c>
    </row>
    <row r="1441" spans="1:5" ht="15.75">
      <c r="A1441" s="126"/>
      <c r="B1441" s="198" t="s">
        <v>2112</v>
      </c>
      <c r="C1441" s="181" t="s">
        <v>379</v>
      </c>
      <c r="D1441" s="181"/>
      <c r="E1441" s="188">
        <v>38891</v>
      </c>
    </row>
    <row r="1442" spans="1:5" ht="15.75">
      <c r="A1442" s="131" t="s">
        <v>380</v>
      </c>
      <c r="B1442" s="127" t="s">
        <v>2273</v>
      </c>
      <c r="C1442" s="181"/>
      <c r="D1442" s="181" t="s">
        <v>2538</v>
      </c>
      <c r="E1442" s="188"/>
    </row>
    <row r="1443" spans="1:5" ht="15.75">
      <c r="A1443" s="126"/>
      <c r="B1443" s="198" t="s">
        <v>2113</v>
      </c>
      <c r="C1443" s="181" t="s">
        <v>379</v>
      </c>
      <c r="D1443" s="181"/>
      <c r="E1443" s="188">
        <v>8266</v>
      </c>
    </row>
    <row r="1444" spans="1:5" ht="15.75">
      <c r="A1444" s="126"/>
      <c r="B1444" s="198" t="s">
        <v>2114</v>
      </c>
      <c r="C1444" s="181" t="s">
        <v>379</v>
      </c>
      <c r="D1444" s="181"/>
      <c r="E1444" s="188">
        <v>10130</v>
      </c>
    </row>
    <row r="1445" spans="1:5" ht="15.75">
      <c r="A1445" s="126"/>
      <c r="B1445" s="198" t="s">
        <v>807</v>
      </c>
      <c r="C1445" s="181" t="s">
        <v>379</v>
      </c>
      <c r="D1445" s="181"/>
      <c r="E1445" s="188">
        <v>13991</v>
      </c>
    </row>
    <row r="1446" spans="1:5" ht="15.75">
      <c r="A1446" s="126"/>
      <c r="B1446" s="198" t="s">
        <v>1527</v>
      </c>
      <c r="C1446" s="181" t="s">
        <v>379</v>
      </c>
      <c r="D1446" s="181"/>
      <c r="E1446" s="188">
        <v>22536</v>
      </c>
    </row>
    <row r="1447" spans="1:5" ht="15.75">
      <c r="A1447" s="126"/>
      <c r="B1447" s="198" t="s">
        <v>1529</v>
      </c>
      <c r="C1447" s="181" t="s">
        <v>379</v>
      </c>
      <c r="D1447" s="181"/>
      <c r="E1447" s="188">
        <v>35387</v>
      </c>
    </row>
    <row r="1448" spans="1:5" ht="15.75">
      <c r="A1448" s="126"/>
      <c r="B1448" s="198" t="s">
        <v>1530</v>
      </c>
      <c r="C1448" s="181" t="s">
        <v>379</v>
      </c>
      <c r="D1448" s="181"/>
      <c r="E1448" s="188">
        <v>52863</v>
      </c>
    </row>
    <row r="1449" spans="1:5" ht="15.75">
      <c r="A1449" s="131" t="s">
        <v>380</v>
      </c>
      <c r="B1449" s="127" t="s">
        <v>2272</v>
      </c>
      <c r="C1449" s="181"/>
      <c r="D1449" s="181" t="s">
        <v>2538</v>
      </c>
      <c r="E1449" s="188"/>
    </row>
    <row r="1450" spans="1:5" ht="15.75">
      <c r="A1450" s="126"/>
      <c r="B1450" s="198" t="s">
        <v>2115</v>
      </c>
      <c r="C1450" s="181" t="s">
        <v>379</v>
      </c>
      <c r="D1450" s="181"/>
      <c r="E1450" s="188">
        <v>9326</v>
      </c>
    </row>
    <row r="1451" spans="1:5" ht="15.75">
      <c r="A1451" s="126"/>
      <c r="B1451" s="198" t="s">
        <v>2116</v>
      </c>
      <c r="C1451" s="181" t="s">
        <v>379</v>
      </c>
      <c r="D1451" s="181"/>
      <c r="E1451" s="188">
        <v>11274</v>
      </c>
    </row>
    <row r="1452" spans="1:5" ht="15.75">
      <c r="A1452" s="126"/>
      <c r="B1452" s="198" t="s">
        <v>808</v>
      </c>
      <c r="C1452" s="181" t="s">
        <v>379</v>
      </c>
      <c r="D1452" s="181"/>
      <c r="E1452" s="188">
        <v>15546</v>
      </c>
    </row>
    <row r="1453" spans="1:5" ht="15.75">
      <c r="A1453" s="126"/>
      <c r="B1453" s="198" t="s">
        <v>2117</v>
      </c>
      <c r="C1453" s="181" t="s">
        <v>379</v>
      </c>
      <c r="D1453" s="181"/>
      <c r="E1453" s="188">
        <v>24818</v>
      </c>
    </row>
    <row r="1454" spans="1:5" ht="15.75">
      <c r="A1454" s="126"/>
      <c r="B1454" s="198" t="s">
        <v>1532</v>
      </c>
      <c r="C1454" s="181" t="s">
        <v>379</v>
      </c>
      <c r="D1454" s="181"/>
      <c r="E1454" s="188">
        <v>45971</v>
      </c>
    </row>
    <row r="1455" spans="1:5" ht="15.75">
      <c r="A1455" s="126"/>
      <c r="B1455" s="198" t="s">
        <v>1534</v>
      </c>
      <c r="C1455" s="181" t="s">
        <v>379</v>
      </c>
      <c r="D1455" s="181"/>
      <c r="E1455" s="188">
        <v>71156</v>
      </c>
    </row>
    <row r="1456" spans="1:5" ht="15.75">
      <c r="A1456" s="126"/>
      <c r="B1456" s="198" t="s">
        <v>1535</v>
      </c>
      <c r="C1456" s="181" t="s">
        <v>379</v>
      </c>
      <c r="D1456" s="181"/>
      <c r="E1456" s="188">
        <v>107021</v>
      </c>
    </row>
    <row r="1457" spans="1:5" ht="15.75">
      <c r="A1457" s="131" t="s">
        <v>380</v>
      </c>
      <c r="B1457" s="127" t="s">
        <v>2275</v>
      </c>
      <c r="C1457" s="181"/>
      <c r="D1457" s="181" t="s">
        <v>2550</v>
      </c>
      <c r="E1457" s="188"/>
    </row>
    <row r="1458" spans="1:5" ht="15.75">
      <c r="A1458" s="126"/>
      <c r="B1458" s="198" t="s">
        <v>810</v>
      </c>
      <c r="C1458" s="181" t="s">
        <v>379</v>
      </c>
      <c r="D1458" s="181"/>
      <c r="E1458" s="188">
        <v>6405</v>
      </c>
    </row>
    <row r="1459" spans="1:5" ht="15.75">
      <c r="A1459" s="126"/>
      <c r="B1459" s="198" t="s">
        <v>2118</v>
      </c>
      <c r="C1459" s="181" t="s">
        <v>379</v>
      </c>
      <c r="D1459" s="181"/>
      <c r="E1459" s="188">
        <v>10187</v>
      </c>
    </row>
    <row r="1460" spans="1:5" ht="15.75">
      <c r="A1460" s="126"/>
      <c r="B1460" s="198" t="s">
        <v>2119</v>
      </c>
      <c r="C1460" s="181" t="s">
        <v>379</v>
      </c>
      <c r="D1460" s="181"/>
      <c r="E1460" s="188">
        <v>16490</v>
      </c>
    </row>
    <row r="1461" spans="1:5" ht="15.75">
      <c r="A1461" s="126"/>
      <c r="B1461" s="198" t="s">
        <v>2120</v>
      </c>
      <c r="C1461" s="181" t="s">
        <v>379</v>
      </c>
      <c r="D1461" s="181"/>
      <c r="E1461" s="188">
        <v>24645</v>
      </c>
    </row>
    <row r="1462" spans="1:5" ht="15.75">
      <c r="A1462" s="131" t="s">
        <v>380</v>
      </c>
      <c r="B1462" s="127" t="s">
        <v>2274</v>
      </c>
      <c r="C1462" s="181"/>
      <c r="D1462" s="181" t="s">
        <v>2551</v>
      </c>
      <c r="E1462" s="188"/>
    </row>
    <row r="1463" spans="1:5" ht="15.75">
      <c r="A1463" s="126"/>
      <c r="B1463" s="198" t="s">
        <v>2121</v>
      </c>
      <c r="C1463" s="181" t="s">
        <v>379</v>
      </c>
      <c r="D1463" s="181"/>
      <c r="E1463" s="188">
        <v>65587.41523957814</v>
      </c>
    </row>
    <row r="1464" spans="1:5" ht="15.75">
      <c r="A1464" s="126"/>
      <c r="B1464" s="198" t="s">
        <v>2122</v>
      </c>
      <c r="C1464" s="181" t="s">
        <v>379</v>
      </c>
      <c r="D1464" s="181"/>
      <c r="E1464" s="188">
        <v>99785.72928294833</v>
      </c>
    </row>
    <row r="1465" spans="1:5" ht="15.75">
      <c r="A1465" s="126"/>
      <c r="B1465" s="198" t="s">
        <v>2123</v>
      </c>
      <c r="C1465" s="181" t="s">
        <v>379</v>
      </c>
      <c r="D1465" s="181"/>
      <c r="E1465" s="188">
        <v>137160.79959358534</v>
      </c>
    </row>
    <row r="1466" spans="1:5" ht="15.75">
      <c r="A1466" s="126"/>
      <c r="B1466" s="198" t="s">
        <v>2124</v>
      </c>
      <c r="C1466" s="181" t="s">
        <v>379</v>
      </c>
      <c r="D1466" s="181"/>
      <c r="E1466" s="188">
        <v>186341.60233445244</v>
      </c>
    </row>
    <row r="1467" spans="1:5" ht="15.75">
      <c r="A1467" s="126"/>
      <c r="B1467" s="198" t="s">
        <v>2125</v>
      </c>
      <c r="C1467" s="181" t="s">
        <v>379</v>
      </c>
      <c r="D1467" s="181"/>
      <c r="E1467" s="188">
        <v>261870.53142541167</v>
      </c>
    </row>
    <row r="1468" spans="1:5" ht="15.75">
      <c r="A1468" s="126"/>
      <c r="B1468" s="198" t="s">
        <v>2126</v>
      </c>
      <c r="C1468" s="181" t="s">
        <v>379</v>
      </c>
      <c r="D1468" s="181"/>
      <c r="E1468" s="188">
        <v>362310.33411795815</v>
      </c>
    </row>
    <row r="1469" spans="1:5" ht="15.75">
      <c r="A1469" s="126"/>
      <c r="B1469" s="198" t="s">
        <v>2127</v>
      </c>
      <c r="C1469" s="181" t="s">
        <v>379</v>
      </c>
      <c r="D1469" s="181"/>
      <c r="E1469" s="188">
        <v>452433.2876512359</v>
      </c>
    </row>
    <row r="1470" spans="1:5" ht="15.75">
      <c r="A1470" s="126"/>
      <c r="B1470" s="198" t="s">
        <v>2128</v>
      </c>
      <c r="C1470" s="181" t="s">
        <v>379</v>
      </c>
      <c r="D1470" s="181"/>
      <c r="E1470" s="188">
        <v>23478.673777568667</v>
      </c>
    </row>
    <row r="1471" spans="1:5" ht="15.75">
      <c r="A1471" s="126"/>
      <c r="B1471" s="198" t="s">
        <v>2129</v>
      </c>
      <c r="C1471" s="181" t="s">
        <v>379</v>
      </c>
      <c r="D1471" s="181"/>
      <c r="E1471" s="188">
        <v>33223.043758131564</v>
      </c>
    </row>
    <row r="1472" spans="1:5" ht="15.75">
      <c r="A1472" s="126"/>
      <c r="B1472" s="198" t="s">
        <v>2130</v>
      </c>
      <c r="C1472" s="181" t="s">
        <v>379</v>
      </c>
      <c r="D1472" s="181"/>
      <c r="E1472" s="188">
        <v>46719.64996288812</v>
      </c>
    </row>
    <row r="1473" spans="1:5" ht="15.75">
      <c r="A1473" s="126"/>
      <c r="B1473" s="198" t="s">
        <v>2131</v>
      </c>
      <c r="C1473" s="181" t="s">
        <v>379</v>
      </c>
      <c r="D1473" s="181"/>
      <c r="E1473" s="188">
        <v>62439.532992963475</v>
      </c>
    </row>
    <row r="1474" spans="1:5" ht="15.75">
      <c r="A1474" s="126"/>
      <c r="B1474" s="198" t="s">
        <v>2132</v>
      </c>
      <c r="C1474" s="181" t="s">
        <v>379</v>
      </c>
      <c r="D1474" s="181"/>
      <c r="E1474" s="188">
        <v>92209.48429449217</v>
      </c>
    </row>
    <row r="1475" spans="1:5" ht="15.75">
      <c r="A1475" s="126"/>
      <c r="B1475" s="198" t="s">
        <v>2133</v>
      </c>
      <c r="C1475" s="181" t="s">
        <v>379</v>
      </c>
      <c r="D1475" s="181"/>
      <c r="E1475" s="188">
        <v>84370.38155639442</v>
      </c>
    </row>
    <row r="1476" spans="1:5" ht="15.75">
      <c r="A1476" s="126"/>
      <c r="B1476" s="198" t="s">
        <v>2134</v>
      </c>
      <c r="C1476" s="181" t="s">
        <v>379</v>
      </c>
      <c r="D1476" s="181"/>
      <c r="E1476" s="188">
        <v>117615.86306901462</v>
      </c>
    </row>
    <row r="1477" spans="1:5" ht="15.75">
      <c r="A1477" s="126"/>
      <c r="B1477" s="198" t="s">
        <v>2135</v>
      </c>
      <c r="C1477" s="181" t="s">
        <v>379</v>
      </c>
      <c r="D1477" s="181"/>
      <c r="E1477" s="188">
        <v>176529.28936582504</v>
      </c>
    </row>
    <row r="1478" spans="1:5" ht="15.75">
      <c r="A1478" s="126"/>
      <c r="B1478" s="198" t="s">
        <v>2136</v>
      </c>
      <c r="C1478" s="181" t="s">
        <v>379</v>
      </c>
      <c r="D1478" s="181"/>
      <c r="E1478" s="188">
        <v>265305.96702295594</v>
      </c>
    </row>
    <row r="1479" spans="1:5" ht="15.75">
      <c r="A1479" s="126"/>
      <c r="B1479" s="198" t="s">
        <v>2137</v>
      </c>
      <c r="C1479" s="181" t="s">
        <v>379</v>
      </c>
      <c r="D1479" s="181"/>
      <c r="E1479" s="188">
        <v>407675.4755295379</v>
      </c>
    </row>
    <row r="1480" spans="1:5" ht="15.75">
      <c r="A1480" s="126"/>
      <c r="B1480" s="198" t="s">
        <v>2138</v>
      </c>
      <c r="C1480" s="181" t="s">
        <v>379</v>
      </c>
      <c r="D1480" s="181"/>
      <c r="E1480" s="188">
        <v>561846.3358527223</v>
      </c>
    </row>
    <row r="1481" spans="1:5" ht="15.75">
      <c r="A1481" s="126"/>
      <c r="B1481" s="198" t="s">
        <v>2139</v>
      </c>
      <c r="C1481" s="181" t="s">
        <v>379</v>
      </c>
      <c r="D1481" s="181"/>
      <c r="E1481" s="188">
        <v>762467.8521691746</v>
      </c>
    </row>
    <row r="1482" spans="1:5" ht="15.75">
      <c r="A1482" s="126"/>
      <c r="B1482" s="145" t="s">
        <v>2140</v>
      </c>
      <c r="C1482" s="181"/>
      <c r="D1482" s="181"/>
      <c r="E1482" s="188"/>
    </row>
    <row r="1483" spans="1:5" ht="15.75">
      <c r="A1483" s="131" t="s">
        <v>380</v>
      </c>
      <c r="B1483" s="127" t="s">
        <v>2276</v>
      </c>
      <c r="C1483" s="181"/>
      <c r="D1483" s="181" t="s">
        <v>2552</v>
      </c>
      <c r="E1483" s="188"/>
    </row>
    <row r="1484" spans="1:5" ht="15.75">
      <c r="A1484" s="126"/>
      <c r="B1484" s="198" t="s">
        <v>2141</v>
      </c>
      <c r="C1484" s="181" t="s">
        <v>379</v>
      </c>
      <c r="D1484" s="181"/>
      <c r="E1484" s="188">
        <v>225720.64443892144</v>
      </c>
    </row>
    <row r="1485" spans="1:5" ht="15.75">
      <c r="A1485" s="126"/>
      <c r="B1485" s="198" t="s">
        <v>2142</v>
      </c>
      <c r="C1485" s="181" t="s">
        <v>379</v>
      </c>
      <c r="D1485" s="181"/>
      <c r="E1485" s="188">
        <v>282141.92852566275</v>
      </c>
    </row>
    <row r="1486" spans="1:5" ht="15.75">
      <c r="A1486" s="132"/>
      <c r="B1486" s="198" t="s">
        <v>2143</v>
      </c>
      <c r="C1486" s="181" t="s">
        <v>379</v>
      </c>
      <c r="D1486" s="181"/>
      <c r="E1486" s="188">
        <v>363108.0816856764</v>
      </c>
    </row>
    <row r="1487" spans="1:5" ht="15.75">
      <c r="A1487" s="126"/>
      <c r="B1487" s="200" t="s">
        <v>2144</v>
      </c>
      <c r="C1487" s="201" t="s">
        <v>379</v>
      </c>
      <c r="D1487" s="201"/>
      <c r="E1487" s="188">
        <v>470108.63124474406</v>
      </c>
    </row>
    <row r="1488" spans="1:5" ht="15.75">
      <c r="A1488" s="126"/>
      <c r="B1488" s="200" t="s">
        <v>2145</v>
      </c>
      <c r="C1488" s="201" t="s">
        <v>379</v>
      </c>
      <c r="D1488" s="201"/>
      <c r="E1488" s="188">
        <v>567280.0614110373</v>
      </c>
    </row>
    <row r="1489" spans="1:5" ht="15.75">
      <c r="A1489" s="126"/>
      <c r="B1489" s="200" t="s">
        <v>2146</v>
      </c>
      <c r="C1489" s="201" t="s">
        <v>379</v>
      </c>
      <c r="D1489" s="201"/>
      <c r="E1489" s="188">
        <v>680523.8904556223</v>
      </c>
    </row>
    <row r="1490" spans="1:5" ht="15.75">
      <c r="A1490" s="126"/>
      <c r="B1490" s="200" t="s">
        <v>2147</v>
      </c>
      <c r="C1490" s="201" t="s">
        <v>379</v>
      </c>
      <c r="D1490" s="201"/>
      <c r="E1490" s="188">
        <v>829944.1261083129</v>
      </c>
    </row>
    <row r="1491" spans="1:5" ht="15.75">
      <c r="A1491" s="126"/>
      <c r="B1491" s="200" t="s">
        <v>2148</v>
      </c>
      <c r="C1491" s="201" t="s">
        <v>379</v>
      </c>
      <c r="D1491" s="201"/>
      <c r="E1491" s="188">
        <v>1057445.0363054858</v>
      </c>
    </row>
    <row r="1492" spans="1:5" ht="30">
      <c r="A1492" s="132" t="s">
        <v>380</v>
      </c>
      <c r="B1492" s="202" t="s">
        <v>2277</v>
      </c>
      <c r="C1492" s="201"/>
      <c r="D1492" s="287" t="s">
        <v>2552</v>
      </c>
      <c r="E1492" s="188"/>
    </row>
    <row r="1493" spans="1:5" ht="15.75">
      <c r="A1493" s="126"/>
      <c r="B1493" s="200" t="s">
        <v>2149</v>
      </c>
      <c r="C1493" s="181" t="s">
        <v>379</v>
      </c>
      <c r="D1493" s="181"/>
      <c r="E1493" s="188">
        <v>262006.99613247058</v>
      </c>
    </row>
    <row r="1494" spans="1:5" ht="15.75">
      <c r="A1494" s="126"/>
      <c r="B1494" s="130" t="s">
        <v>2150</v>
      </c>
      <c r="C1494" s="181" t="s">
        <v>379</v>
      </c>
      <c r="D1494" s="181"/>
      <c r="E1494" s="188">
        <v>318702.6818623691</v>
      </c>
    </row>
    <row r="1495" spans="1:5" ht="15.75">
      <c r="A1495" s="126"/>
      <c r="B1495" s="130" t="s">
        <v>2151</v>
      </c>
      <c r="C1495" s="181" t="s">
        <v>379</v>
      </c>
      <c r="D1495" s="181"/>
      <c r="E1495" s="188">
        <v>403113.20992914715</v>
      </c>
    </row>
    <row r="1496" spans="1:5" ht="15.75">
      <c r="A1496" s="126"/>
      <c r="B1496" s="130" t="s">
        <v>2152</v>
      </c>
      <c r="C1496" s="181" t="s">
        <v>379</v>
      </c>
      <c r="D1496" s="181"/>
      <c r="E1496" s="188">
        <v>513796.1819615912</v>
      </c>
    </row>
    <row r="1497" spans="1:5" s="286" customFormat="1" ht="15.75" customHeight="1">
      <c r="A1497" s="126"/>
      <c r="B1497" s="130" t="s">
        <v>2153</v>
      </c>
      <c r="C1497" s="181" t="s">
        <v>379</v>
      </c>
      <c r="D1497" s="181"/>
      <c r="E1497" s="188">
        <v>614595.1206061816</v>
      </c>
    </row>
    <row r="1498" spans="1:5" ht="15.75">
      <c r="A1498" s="126"/>
      <c r="B1498" s="130" t="s">
        <v>2154</v>
      </c>
      <c r="C1498" s="181" t="s">
        <v>379</v>
      </c>
      <c r="D1498" s="181"/>
      <c r="E1498" s="188">
        <v>728786.2074764668</v>
      </c>
    </row>
    <row r="1499" spans="1:5" ht="15.75">
      <c r="A1499" s="126"/>
      <c r="B1499" s="130" t="s">
        <v>2155</v>
      </c>
      <c r="C1499" s="181" t="s">
        <v>379</v>
      </c>
      <c r="D1499" s="181"/>
      <c r="E1499" s="188">
        <v>881509.4533138108</v>
      </c>
    </row>
    <row r="1500" spans="1:5" ht="15.75">
      <c r="A1500" s="126"/>
      <c r="B1500" s="130" t="s">
        <v>2156</v>
      </c>
      <c r="C1500" s="181" t="s">
        <v>379</v>
      </c>
      <c r="D1500" s="181"/>
      <c r="E1500" s="188">
        <v>1112457.146805455</v>
      </c>
    </row>
    <row r="1501" spans="1:5" ht="15.75">
      <c r="A1501" s="132" t="s">
        <v>380</v>
      </c>
      <c r="B1501" s="127" t="s">
        <v>2278</v>
      </c>
      <c r="C1501" s="181"/>
      <c r="D1501" s="181" t="s">
        <v>2552</v>
      </c>
      <c r="E1501" s="188"/>
    </row>
    <row r="1502" spans="1:5" ht="15.75" customHeight="1">
      <c r="A1502" s="126"/>
      <c r="B1502" s="130" t="s">
        <v>2157</v>
      </c>
      <c r="C1502" s="181" t="s">
        <v>379</v>
      </c>
      <c r="D1502" s="181"/>
      <c r="E1502" s="188">
        <v>328547.713951799</v>
      </c>
    </row>
    <row r="1503" spans="1:5" ht="15.75">
      <c r="A1503" s="126"/>
      <c r="B1503" s="130" t="s">
        <v>2158</v>
      </c>
      <c r="C1503" s="181" t="s">
        <v>379</v>
      </c>
      <c r="D1503" s="181"/>
      <c r="E1503" s="188">
        <v>412682.98135920416</v>
      </c>
    </row>
    <row r="1504" spans="1:5" ht="15.75">
      <c r="A1504" s="126"/>
      <c r="B1504" s="130" t="s">
        <v>2159</v>
      </c>
      <c r="C1504" s="181" t="s">
        <v>379</v>
      </c>
      <c r="D1504" s="181"/>
      <c r="E1504" s="188">
        <v>522168.8099920071</v>
      </c>
    </row>
    <row r="1505" spans="1:5" ht="15.75">
      <c r="A1505" s="126"/>
      <c r="B1505" s="130" t="s">
        <v>2160</v>
      </c>
      <c r="C1505" s="181" t="s">
        <v>379</v>
      </c>
      <c r="D1505" s="181"/>
      <c r="E1505" s="188">
        <v>623119.2872733203</v>
      </c>
    </row>
    <row r="1506" spans="1:5" ht="15.75">
      <c r="A1506" s="126"/>
      <c r="B1506" s="130" t="s">
        <v>2161</v>
      </c>
      <c r="C1506" s="181" t="s">
        <v>379</v>
      </c>
      <c r="D1506" s="181"/>
      <c r="E1506" s="188">
        <v>737068.5092615518</v>
      </c>
    </row>
    <row r="1507" spans="1:5" ht="13.5" customHeight="1">
      <c r="A1507" s="126"/>
      <c r="B1507" s="130" t="s">
        <v>2162</v>
      </c>
      <c r="C1507" s="181" t="s">
        <v>379</v>
      </c>
      <c r="D1507" s="181"/>
      <c r="E1507" s="188">
        <v>888852.0798196703</v>
      </c>
    </row>
    <row r="1508" spans="1:5" ht="15.75">
      <c r="A1508" s="126"/>
      <c r="B1508" s="130" t="s">
        <v>2163</v>
      </c>
      <c r="C1508" s="181" t="s">
        <v>379</v>
      </c>
      <c r="D1508" s="181"/>
      <c r="E1508" s="188">
        <v>1118969.336183698</v>
      </c>
    </row>
    <row r="1509" spans="1:5" ht="15.75">
      <c r="A1509" s="126"/>
      <c r="B1509" s="130" t="s">
        <v>2164</v>
      </c>
      <c r="C1509" s="181" t="s">
        <v>379</v>
      </c>
      <c r="D1509" s="181"/>
      <c r="E1509" s="188">
        <v>1365102.383653063</v>
      </c>
    </row>
    <row r="1510" spans="1:5" ht="15.75">
      <c r="A1510" s="126"/>
      <c r="B1510" s="130" t="s">
        <v>2165</v>
      </c>
      <c r="C1510" s="181" t="s">
        <v>379</v>
      </c>
      <c r="D1510" s="181"/>
      <c r="E1510" s="188">
        <v>1717736.997955395</v>
      </c>
    </row>
    <row r="1511" spans="1:5" ht="15.75">
      <c r="A1511" s="126"/>
      <c r="B1511" s="130" t="s">
        <v>2166</v>
      </c>
      <c r="C1511" s="181" t="s">
        <v>379</v>
      </c>
      <c r="D1511" s="181"/>
      <c r="E1511" s="188">
        <v>2127966.4570204024</v>
      </c>
    </row>
    <row r="1512" spans="1:5" ht="15.75" customHeight="1">
      <c r="A1512" s="132" t="s">
        <v>380</v>
      </c>
      <c r="B1512" s="127" t="s">
        <v>2279</v>
      </c>
      <c r="C1512" s="181"/>
      <c r="D1512" s="310" t="s">
        <v>2552</v>
      </c>
      <c r="E1512" s="188"/>
    </row>
    <row r="1513" spans="1:5" ht="15.75">
      <c r="A1513" s="126"/>
      <c r="B1513" s="130" t="s">
        <v>2167</v>
      </c>
      <c r="C1513" s="181" t="s">
        <v>379</v>
      </c>
      <c r="D1513" s="181"/>
      <c r="E1513" s="188">
        <v>376022.9182733818</v>
      </c>
    </row>
    <row r="1514" spans="1:5" ht="15.75">
      <c r="A1514" s="126"/>
      <c r="B1514" s="130" t="s">
        <v>2168</v>
      </c>
      <c r="C1514" s="181" t="s">
        <v>379</v>
      </c>
      <c r="D1514" s="181"/>
      <c r="E1514" s="188">
        <v>463536.8639995556</v>
      </c>
    </row>
    <row r="1515" spans="1:5" ht="15.75">
      <c r="A1515" s="126"/>
      <c r="B1515" s="130" t="s">
        <v>2169</v>
      </c>
      <c r="C1515" s="181" t="s">
        <v>379</v>
      </c>
      <c r="D1515" s="181"/>
      <c r="E1515" s="188">
        <v>576148.7818675024</v>
      </c>
    </row>
    <row r="1516" spans="1:5" ht="15.75">
      <c r="A1516" s="132"/>
      <c r="B1516" s="198" t="s">
        <v>2170</v>
      </c>
      <c r="C1516" s="181" t="s">
        <v>379</v>
      </c>
      <c r="D1516" s="181"/>
      <c r="E1516" s="188">
        <v>676868.7716799839</v>
      </c>
    </row>
    <row r="1517" spans="1:5" ht="15.75">
      <c r="A1517" s="126"/>
      <c r="B1517" s="130" t="s">
        <v>2171</v>
      </c>
      <c r="C1517" s="181" t="s">
        <v>379</v>
      </c>
      <c r="D1517" s="181"/>
      <c r="E1517" s="188">
        <v>794264.5944496365</v>
      </c>
    </row>
    <row r="1518" spans="1:5" ht="15.75">
      <c r="A1518" s="126"/>
      <c r="B1518" s="130" t="s">
        <v>2172</v>
      </c>
      <c r="C1518" s="181" t="s">
        <v>379</v>
      </c>
      <c r="D1518" s="181"/>
      <c r="E1518" s="188">
        <v>950539.8315234793</v>
      </c>
    </row>
    <row r="1519" spans="1:5" ht="15.75">
      <c r="A1519" s="126"/>
      <c r="B1519" s="130" t="s">
        <v>2173</v>
      </c>
      <c r="C1519" s="181" t="s">
        <v>379</v>
      </c>
      <c r="D1519" s="181"/>
      <c r="E1519" s="188">
        <v>1185130.175769022</v>
      </c>
    </row>
    <row r="1520" spans="1:5" ht="15.75">
      <c r="A1520" s="126"/>
      <c r="B1520" s="130" t="s">
        <v>2174</v>
      </c>
      <c r="C1520" s="181" t="s">
        <v>379</v>
      </c>
      <c r="D1520" s="181"/>
      <c r="E1520" s="188">
        <v>1434093.8083403201</v>
      </c>
    </row>
    <row r="1521" spans="1:5" ht="15.75">
      <c r="A1521" s="126"/>
      <c r="B1521" s="130" t="s">
        <v>2175</v>
      </c>
      <c r="C1521" s="181" t="s">
        <v>379</v>
      </c>
      <c r="D1521" s="181"/>
      <c r="E1521" s="188">
        <v>1793449.2393057833</v>
      </c>
    </row>
    <row r="1522" spans="1:5" ht="15.75">
      <c r="A1522" s="126"/>
      <c r="B1522" s="130" t="s">
        <v>2176</v>
      </c>
      <c r="C1522" s="181" t="s">
        <v>379</v>
      </c>
      <c r="D1522" s="181"/>
      <c r="E1522" s="188">
        <v>2210562.650040538</v>
      </c>
    </row>
    <row r="1523" spans="1:5" ht="15.75">
      <c r="A1523" s="126"/>
      <c r="B1523" s="145" t="s">
        <v>2177</v>
      </c>
      <c r="C1523" s="181"/>
      <c r="D1523" s="181"/>
      <c r="E1523" s="188"/>
    </row>
    <row r="1524" spans="1:5" ht="30">
      <c r="A1524" s="131" t="s">
        <v>380</v>
      </c>
      <c r="B1524" s="145" t="s">
        <v>2280</v>
      </c>
      <c r="C1524" s="181"/>
      <c r="D1524" s="181" t="s">
        <v>2553</v>
      </c>
      <c r="E1524" s="188"/>
    </row>
    <row r="1525" spans="1:5" ht="15.75">
      <c r="A1525" s="126"/>
      <c r="B1525" s="130" t="s">
        <v>2178</v>
      </c>
      <c r="C1525" s="181" t="s">
        <v>379</v>
      </c>
      <c r="D1525" s="181"/>
      <c r="E1525" s="188">
        <v>38383</v>
      </c>
    </row>
    <row r="1526" spans="1:5" ht="15.75">
      <c r="A1526" s="126"/>
      <c r="B1526" s="130" t="s">
        <v>2179</v>
      </c>
      <c r="C1526" s="181" t="s">
        <v>379</v>
      </c>
      <c r="D1526" s="181"/>
      <c r="E1526" s="188">
        <v>47623</v>
      </c>
    </row>
    <row r="1527" spans="1:5" ht="15.75">
      <c r="A1527" s="126"/>
      <c r="B1527" s="130" t="s">
        <v>2180</v>
      </c>
      <c r="C1527" s="181" t="s">
        <v>379</v>
      </c>
      <c r="D1527" s="181"/>
      <c r="E1527" s="188">
        <v>58859</v>
      </c>
    </row>
    <row r="1528" spans="1:5" ht="15.75">
      <c r="A1528" s="126"/>
      <c r="B1528" s="130" t="s">
        <v>2181</v>
      </c>
      <c r="C1528" s="181" t="s">
        <v>379</v>
      </c>
      <c r="D1528" s="181"/>
      <c r="E1528" s="188">
        <v>72829</v>
      </c>
    </row>
    <row r="1529" spans="1:5" ht="15.75">
      <c r="A1529" s="126"/>
      <c r="B1529" s="130" t="s">
        <v>2182</v>
      </c>
      <c r="C1529" s="181" t="s">
        <v>379</v>
      </c>
      <c r="D1529" s="181"/>
      <c r="E1529" s="188">
        <v>93713</v>
      </c>
    </row>
    <row r="1530" spans="1:5" ht="15.75">
      <c r="A1530" s="126"/>
      <c r="B1530" s="130" t="s">
        <v>2183</v>
      </c>
      <c r="C1530" s="181" t="s">
        <v>379</v>
      </c>
      <c r="D1530" s="181"/>
      <c r="E1530" s="188">
        <v>115465</v>
      </c>
    </row>
    <row r="1531" spans="1:5" ht="15.75">
      <c r="A1531" s="126"/>
      <c r="B1531" s="130" t="s">
        <v>2184</v>
      </c>
      <c r="C1531" s="181" t="s">
        <v>379</v>
      </c>
      <c r="D1531" s="181"/>
      <c r="E1531" s="188">
        <v>153167</v>
      </c>
    </row>
    <row r="1532" spans="1:5" ht="29.25">
      <c r="A1532" s="131" t="s">
        <v>380</v>
      </c>
      <c r="B1532" s="145" t="s">
        <v>2281</v>
      </c>
      <c r="C1532" s="181"/>
      <c r="D1532" s="310" t="s">
        <v>2554</v>
      </c>
      <c r="E1532" s="188"/>
    </row>
    <row r="1533" spans="1:5" ht="15.75" customHeight="1">
      <c r="A1533" s="132"/>
      <c r="B1533" s="198" t="s">
        <v>2185</v>
      </c>
      <c r="C1533" s="181" t="s">
        <v>379</v>
      </c>
      <c r="D1533" s="181"/>
      <c r="E1533" s="188">
        <v>335326</v>
      </c>
    </row>
    <row r="1534" spans="1:5" ht="15.75">
      <c r="A1534" s="126"/>
      <c r="B1534" s="130" t="s">
        <v>2186</v>
      </c>
      <c r="C1534" s="181" t="s">
        <v>379</v>
      </c>
      <c r="D1534" s="181"/>
      <c r="E1534" s="188">
        <v>406644</v>
      </c>
    </row>
    <row r="1535" spans="1:5" ht="15.75">
      <c r="A1535" s="126"/>
      <c r="B1535" s="130" t="s">
        <v>2187</v>
      </c>
      <c r="C1535" s="181" t="s">
        <v>379</v>
      </c>
      <c r="D1535" s="181"/>
      <c r="E1535" s="188">
        <v>510327</v>
      </c>
    </row>
    <row r="1536" spans="1:5" ht="15.75">
      <c r="A1536" s="126"/>
      <c r="B1536" s="130" t="s">
        <v>2188</v>
      </c>
      <c r="C1536" s="181" t="s">
        <v>379</v>
      </c>
      <c r="D1536" s="181"/>
      <c r="E1536" s="188">
        <v>611262</v>
      </c>
    </row>
    <row r="1537" spans="1:5" ht="15.75">
      <c r="A1537" s="131" t="s">
        <v>380</v>
      </c>
      <c r="B1537" s="145" t="s">
        <v>2282</v>
      </c>
      <c r="C1537" s="181"/>
      <c r="D1537" s="181" t="s">
        <v>2555</v>
      </c>
      <c r="E1537" s="188"/>
    </row>
    <row r="1538" spans="1:5" ht="15.75">
      <c r="A1538" s="126"/>
      <c r="B1538" s="130" t="s">
        <v>815</v>
      </c>
      <c r="C1538" s="181" t="s">
        <v>379</v>
      </c>
      <c r="D1538" s="181"/>
      <c r="E1538" s="188">
        <v>16582</v>
      </c>
    </row>
    <row r="1539" spans="1:5" ht="15.75">
      <c r="A1539" s="126"/>
      <c r="B1539" s="130" t="s">
        <v>1620</v>
      </c>
      <c r="C1539" s="181" t="s">
        <v>379</v>
      </c>
      <c r="D1539" s="181"/>
      <c r="E1539" s="188">
        <v>22941</v>
      </c>
    </row>
    <row r="1540" spans="1:5" ht="15.75">
      <c r="A1540" s="126"/>
      <c r="B1540" s="130" t="s">
        <v>1621</v>
      </c>
      <c r="C1540" s="181" t="s">
        <v>379</v>
      </c>
      <c r="D1540" s="181"/>
      <c r="E1540" s="188">
        <v>29487</v>
      </c>
    </row>
    <row r="1541" spans="1:5" ht="15.75">
      <c r="A1541" s="131" t="s">
        <v>380</v>
      </c>
      <c r="B1541" s="145" t="s">
        <v>2283</v>
      </c>
      <c r="C1541" s="181"/>
      <c r="D1541" s="181" t="s">
        <v>2555</v>
      </c>
      <c r="E1541" s="188"/>
    </row>
    <row r="1542" spans="1:5" ht="15.75">
      <c r="A1542" s="126"/>
      <c r="B1542" s="130" t="s">
        <v>817</v>
      </c>
      <c r="C1542" s="181" t="s">
        <v>379</v>
      </c>
      <c r="D1542" s="181"/>
      <c r="E1542" s="188">
        <v>31920</v>
      </c>
    </row>
    <row r="1543" spans="1:5" ht="15.75">
      <c r="A1543" s="126"/>
      <c r="B1543" s="130" t="s">
        <v>1627</v>
      </c>
      <c r="C1543" s="181" t="s">
        <v>379</v>
      </c>
      <c r="D1543" s="181"/>
      <c r="E1543" s="188">
        <v>44902</v>
      </c>
    </row>
    <row r="1544" spans="1:5" ht="15.75">
      <c r="A1544" s="126"/>
      <c r="B1544" s="130" t="s">
        <v>1628</v>
      </c>
      <c r="C1544" s="181" t="s">
        <v>379</v>
      </c>
      <c r="D1544" s="181"/>
      <c r="E1544" s="188">
        <v>58151</v>
      </c>
    </row>
    <row r="1545" spans="1:5" ht="15.75">
      <c r="A1545" s="126"/>
      <c r="B1545" s="130" t="s">
        <v>1629</v>
      </c>
      <c r="C1545" s="181" t="s">
        <v>379</v>
      </c>
      <c r="D1545" s="181"/>
      <c r="E1545" s="188">
        <v>79632</v>
      </c>
    </row>
    <row r="1546" spans="1:5" ht="15.75">
      <c r="A1546" s="126"/>
      <c r="B1546" s="130" t="s">
        <v>818</v>
      </c>
      <c r="C1546" s="181" t="s">
        <v>379</v>
      </c>
      <c r="D1546" s="181"/>
      <c r="E1546" s="188">
        <v>109893</v>
      </c>
    </row>
    <row r="1547" spans="1:5" ht="15.75">
      <c r="A1547" s="126"/>
      <c r="B1547" s="130" t="s">
        <v>1630</v>
      </c>
      <c r="C1547" s="181" t="s">
        <v>379</v>
      </c>
      <c r="D1547" s="181"/>
      <c r="E1547" s="188">
        <v>149734</v>
      </c>
    </row>
    <row r="1548" spans="1:5" ht="15.75">
      <c r="A1548" s="126"/>
      <c r="B1548" s="130" t="s">
        <v>1631</v>
      </c>
      <c r="C1548" s="181" t="s">
        <v>379</v>
      </c>
      <c r="D1548" s="181"/>
      <c r="E1548" s="188">
        <v>184700</v>
      </c>
    </row>
    <row r="1549" spans="1:5" ht="15.75" customHeight="1">
      <c r="A1549" s="126"/>
      <c r="B1549" s="130" t="s">
        <v>1632</v>
      </c>
      <c r="C1549" s="181" t="s">
        <v>379</v>
      </c>
      <c r="D1549" s="181"/>
      <c r="E1549" s="188">
        <v>225841</v>
      </c>
    </row>
    <row r="1550" spans="1:5" ht="15.75">
      <c r="A1550" s="126"/>
      <c r="B1550" s="130" t="s">
        <v>1633</v>
      </c>
      <c r="C1550" s="181" t="s">
        <v>379</v>
      </c>
      <c r="D1550" s="181"/>
      <c r="E1550" s="188">
        <v>280753</v>
      </c>
    </row>
    <row r="1551" spans="1:5" ht="15.75">
      <c r="A1551" s="126"/>
      <c r="B1551" s="130" t="s">
        <v>2189</v>
      </c>
      <c r="C1551" s="181" t="s">
        <v>379</v>
      </c>
      <c r="D1551" s="181"/>
      <c r="E1551" s="188">
        <v>358389</v>
      </c>
    </row>
    <row r="1552" spans="1:5" ht="15.75">
      <c r="A1552" s="126" t="s">
        <v>380</v>
      </c>
      <c r="B1552" s="145" t="s">
        <v>2190</v>
      </c>
      <c r="C1552" s="181"/>
      <c r="D1552" s="181" t="s">
        <v>2556</v>
      </c>
      <c r="E1552" s="188"/>
    </row>
    <row r="1553" spans="1:5" ht="15.75" customHeight="1">
      <c r="A1553" s="126"/>
      <c r="B1553" s="130" t="s">
        <v>814</v>
      </c>
      <c r="C1553" s="181" t="s">
        <v>595</v>
      </c>
      <c r="D1553" s="181"/>
      <c r="E1553" s="188">
        <v>96643</v>
      </c>
    </row>
    <row r="1554" spans="1:5" ht="15.75">
      <c r="A1554" s="126"/>
      <c r="B1554" s="130" t="s">
        <v>2191</v>
      </c>
      <c r="C1554" s="181" t="s">
        <v>595</v>
      </c>
      <c r="D1554" s="181"/>
      <c r="E1554" s="188">
        <v>96546</v>
      </c>
    </row>
    <row r="1555" spans="1:5" ht="15.75">
      <c r="A1555" s="126"/>
      <c r="B1555" s="130" t="s">
        <v>811</v>
      </c>
      <c r="C1555" s="181" t="s">
        <v>595</v>
      </c>
      <c r="D1555" s="181"/>
      <c r="E1555" s="188">
        <v>101176</v>
      </c>
    </row>
    <row r="1556" spans="1:5" ht="15.75">
      <c r="A1556" s="126"/>
      <c r="B1556" s="130" t="s">
        <v>2192</v>
      </c>
      <c r="C1556" s="181" t="s">
        <v>595</v>
      </c>
      <c r="D1556" s="181"/>
      <c r="E1556" s="188">
        <v>94881</v>
      </c>
    </row>
    <row r="1557" spans="1:5" ht="15.75" customHeight="1">
      <c r="A1557" s="126"/>
      <c r="B1557" s="130" t="s">
        <v>2193</v>
      </c>
      <c r="C1557" s="181" t="s">
        <v>595</v>
      </c>
      <c r="D1557" s="181"/>
      <c r="E1557" s="188">
        <v>104203</v>
      </c>
    </row>
    <row r="1558" spans="1:5" ht="15.75">
      <c r="A1558" s="126"/>
      <c r="B1558" s="130" t="s">
        <v>2194</v>
      </c>
      <c r="C1558" s="181" t="s">
        <v>595</v>
      </c>
      <c r="D1558" s="181"/>
      <c r="E1558" s="188">
        <v>100128</v>
      </c>
    </row>
    <row r="1559" spans="1:5" ht="15.75">
      <c r="A1559" s="126"/>
      <c r="B1559" s="130" t="s">
        <v>2195</v>
      </c>
      <c r="C1559" s="181" t="s">
        <v>595</v>
      </c>
      <c r="D1559" s="181"/>
      <c r="E1559" s="188">
        <v>102825</v>
      </c>
    </row>
    <row r="1560" spans="1:5" ht="15.75">
      <c r="A1560" s="126"/>
      <c r="B1560" s="130" t="s">
        <v>2196</v>
      </c>
      <c r="C1560" s="181" t="s">
        <v>595</v>
      </c>
      <c r="D1560" s="181"/>
      <c r="E1560" s="188">
        <v>100293</v>
      </c>
    </row>
    <row r="1561" spans="1:5" ht="29.25">
      <c r="A1561" s="126" t="s">
        <v>380</v>
      </c>
      <c r="B1561" s="145" t="s">
        <v>2284</v>
      </c>
      <c r="C1561" s="181"/>
      <c r="D1561" s="310" t="s">
        <v>2556</v>
      </c>
      <c r="E1561" s="188"/>
    </row>
    <row r="1562" spans="1:5" ht="15.75">
      <c r="A1562" s="126"/>
      <c r="B1562" s="130" t="s">
        <v>2197</v>
      </c>
      <c r="C1562" s="181" t="s">
        <v>379</v>
      </c>
      <c r="D1562" s="181"/>
      <c r="E1562" s="188">
        <v>32577</v>
      </c>
    </row>
    <row r="1563" spans="1:5" ht="15.75">
      <c r="A1563" s="126"/>
      <c r="B1563" s="130" t="s">
        <v>2198</v>
      </c>
      <c r="C1563" s="181" t="s">
        <v>379</v>
      </c>
      <c r="D1563" s="181"/>
      <c r="E1563" s="188">
        <v>38742</v>
      </c>
    </row>
    <row r="1564" spans="1:5" ht="15.75">
      <c r="A1564" s="126"/>
      <c r="B1564" s="130" t="s">
        <v>2199</v>
      </c>
      <c r="C1564" s="181" t="s">
        <v>379</v>
      </c>
      <c r="D1564" s="181"/>
      <c r="E1564" s="188">
        <v>50180</v>
      </c>
    </row>
    <row r="1565" spans="1:5" ht="15.75">
      <c r="A1565" s="126"/>
      <c r="B1565" s="130" t="s">
        <v>2200</v>
      </c>
      <c r="C1565" s="181" t="s">
        <v>379</v>
      </c>
      <c r="D1565" s="181"/>
      <c r="E1565" s="188">
        <v>65470</v>
      </c>
    </row>
    <row r="1566" spans="1:5" ht="15.75">
      <c r="A1566" s="126"/>
      <c r="B1566" s="130" t="s">
        <v>2201</v>
      </c>
      <c r="C1566" s="181" t="s">
        <v>379</v>
      </c>
      <c r="D1566" s="181"/>
      <c r="E1566" s="188">
        <v>75851</v>
      </c>
    </row>
    <row r="1567" spans="1:5" ht="15.75">
      <c r="A1567" s="126"/>
      <c r="B1567" s="130" t="s">
        <v>2202</v>
      </c>
      <c r="C1567" s="181" t="s">
        <v>379</v>
      </c>
      <c r="D1567" s="181"/>
      <c r="E1567" s="188">
        <v>78367</v>
      </c>
    </row>
    <row r="1568" spans="1:5" ht="15.75">
      <c r="A1568" s="126"/>
      <c r="B1568" s="130" t="s">
        <v>2203</v>
      </c>
      <c r="C1568" s="181" t="s">
        <v>379</v>
      </c>
      <c r="D1568" s="181"/>
      <c r="E1568" s="188">
        <v>89978</v>
      </c>
    </row>
    <row r="1569" spans="1:5" ht="15.75">
      <c r="A1569" s="126"/>
      <c r="B1569" s="130" t="s">
        <v>2204</v>
      </c>
      <c r="C1569" s="181" t="s">
        <v>379</v>
      </c>
      <c r="D1569" s="181"/>
      <c r="E1569" s="188">
        <v>92741</v>
      </c>
    </row>
    <row r="1570" spans="1:5" ht="15.75">
      <c r="A1570" s="126"/>
      <c r="B1570" s="130" t="s">
        <v>2205</v>
      </c>
      <c r="C1570" s="181" t="s">
        <v>379</v>
      </c>
      <c r="D1570" s="181"/>
      <c r="E1570" s="188">
        <v>96421</v>
      </c>
    </row>
    <row r="1571" spans="1:5" ht="15.75">
      <c r="A1571" s="126"/>
      <c r="B1571" s="130" t="s">
        <v>2206</v>
      </c>
      <c r="C1571" s="181" t="s">
        <v>379</v>
      </c>
      <c r="D1571" s="181"/>
      <c r="E1571" s="188">
        <v>109409</v>
      </c>
    </row>
    <row r="1572" spans="1:5" ht="15.75">
      <c r="A1572" s="126"/>
      <c r="B1572" s="130" t="s">
        <v>2207</v>
      </c>
      <c r="C1572" s="181" t="s">
        <v>379</v>
      </c>
      <c r="D1572" s="181"/>
      <c r="E1572" s="188">
        <v>108661</v>
      </c>
    </row>
    <row r="1573" spans="1:5" ht="15.75">
      <c r="A1573" s="126"/>
      <c r="B1573" s="130" t="s">
        <v>2208</v>
      </c>
      <c r="C1573" s="181" t="s">
        <v>379</v>
      </c>
      <c r="D1573" s="181"/>
      <c r="E1573" s="188">
        <v>116766</v>
      </c>
    </row>
    <row r="1574" spans="1:5" ht="15.75">
      <c r="A1574" s="126"/>
      <c r="B1574" s="130" t="s">
        <v>2209</v>
      </c>
      <c r="C1574" s="181" t="s">
        <v>379</v>
      </c>
      <c r="D1574" s="181"/>
      <c r="E1574" s="188">
        <v>137301</v>
      </c>
    </row>
    <row r="1575" spans="1:5" ht="15.75">
      <c r="A1575" s="131" t="s">
        <v>380</v>
      </c>
      <c r="B1575" s="145" t="s">
        <v>2210</v>
      </c>
      <c r="C1575" s="181"/>
      <c r="D1575" s="181" t="s">
        <v>2556</v>
      </c>
      <c r="E1575" s="188"/>
    </row>
    <row r="1576" spans="1:5" ht="15.75">
      <c r="A1576" s="126"/>
      <c r="B1576" s="130" t="s">
        <v>2211</v>
      </c>
      <c r="C1576" s="181" t="s">
        <v>379</v>
      </c>
      <c r="D1576" s="181"/>
      <c r="E1576" s="188">
        <v>42331</v>
      </c>
    </row>
    <row r="1577" spans="1:5" ht="15.75">
      <c r="A1577" s="126"/>
      <c r="B1577" s="130" t="s">
        <v>2212</v>
      </c>
      <c r="C1577" s="181" t="s">
        <v>379</v>
      </c>
      <c r="D1577" s="181"/>
      <c r="E1577" s="188">
        <v>49240</v>
      </c>
    </row>
    <row r="1578" spans="1:5" ht="15.75">
      <c r="A1578" s="126"/>
      <c r="B1578" s="130" t="s">
        <v>2213</v>
      </c>
      <c r="C1578" s="181" t="s">
        <v>379</v>
      </c>
      <c r="D1578" s="181"/>
      <c r="E1578" s="188">
        <v>61436</v>
      </c>
    </row>
    <row r="1579" spans="1:5" ht="15.75">
      <c r="A1579" s="126"/>
      <c r="B1579" s="130" t="s">
        <v>2214</v>
      </c>
      <c r="C1579" s="181" t="s">
        <v>379</v>
      </c>
      <c r="D1579" s="181"/>
      <c r="E1579" s="188">
        <v>78420</v>
      </c>
    </row>
    <row r="1580" spans="1:5" ht="15.75">
      <c r="A1580" s="126"/>
      <c r="B1580" s="130" t="s">
        <v>2215</v>
      </c>
      <c r="C1580" s="181" t="s">
        <v>379</v>
      </c>
      <c r="D1580" s="181"/>
      <c r="E1580" s="188">
        <v>89581</v>
      </c>
    </row>
    <row r="1581" spans="1:5" ht="15.75">
      <c r="A1581" s="126"/>
      <c r="B1581" s="130" t="s">
        <v>2216</v>
      </c>
      <c r="C1581" s="181" t="s">
        <v>379</v>
      </c>
      <c r="D1581" s="181"/>
      <c r="E1581" s="188">
        <v>92160</v>
      </c>
    </row>
    <row r="1582" spans="1:5" ht="15.75">
      <c r="A1582" s="126"/>
      <c r="B1582" s="130" t="s">
        <v>2217</v>
      </c>
      <c r="C1582" s="181" t="s">
        <v>379</v>
      </c>
      <c r="D1582" s="181"/>
      <c r="E1582" s="188">
        <v>104532</v>
      </c>
    </row>
    <row r="1583" spans="1:5" ht="15.75">
      <c r="A1583" s="126"/>
      <c r="B1583" s="130" t="s">
        <v>2218</v>
      </c>
      <c r="C1583" s="181" t="s">
        <v>379</v>
      </c>
      <c r="D1583" s="181"/>
      <c r="E1583" s="188">
        <v>107491</v>
      </c>
    </row>
    <row r="1584" spans="1:5" ht="15.75">
      <c r="A1584" s="126"/>
      <c r="B1584" s="130" t="s">
        <v>2219</v>
      </c>
      <c r="C1584" s="181" t="s">
        <v>379</v>
      </c>
      <c r="D1584" s="181"/>
      <c r="E1584" s="188">
        <v>111366</v>
      </c>
    </row>
    <row r="1585" spans="1:5" ht="15.75">
      <c r="A1585" s="126"/>
      <c r="B1585" s="130" t="s">
        <v>2220</v>
      </c>
      <c r="C1585" s="181" t="s">
        <v>379</v>
      </c>
      <c r="D1585" s="181"/>
      <c r="E1585" s="188">
        <v>125761</v>
      </c>
    </row>
    <row r="1586" spans="1:5" ht="15.75">
      <c r="A1586" s="126"/>
      <c r="B1586" s="130" t="s">
        <v>2221</v>
      </c>
      <c r="C1586" s="181" t="s">
        <v>379</v>
      </c>
      <c r="D1586" s="181"/>
      <c r="E1586" s="188">
        <v>124961</v>
      </c>
    </row>
    <row r="1587" spans="1:5" ht="15.75">
      <c r="A1587" s="126"/>
      <c r="B1587" s="130" t="s">
        <v>2222</v>
      </c>
      <c r="C1587" s="181" t="s">
        <v>379</v>
      </c>
      <c r="D1587" s="181"/>
      <c r="E1587" s="188">
        <v>132747</v>
      </c>
    </row>
    <row r="1588" spans="1:5" ht="15.75">
      <c r="A1588" s="132"/>
      <c r="B1588" s="130" t="s">
        <v>2223</v>
      </c>
      <c r="C1588" s="181" t="s">
        <v>379</v>
      </c>
      <c r="D1588" s="181"/>
      <c r="E1588" s="188">
        <v>46595</v>
      </c>
    </row>
    <row r="1589" spans="1:5" ht="15.75">
      <c r="A1589" s="132"/>
      <c r="B1589" s="130" t="s">
        <v>2224</v>
      </c>
      <c r="C1589" s="181" t="s">
        <v>379</v>
      </c>
      <c r="D1589" s="181"/>
      <c r="E1589" s="188">
        <v>57726</v>
      </c>
    </row>
    <row r="1590" spans="1:5" ht="15.75">
      <c r="A1590" s="132"/>
      <c r="B1590" s="130" t="s">
        <v>2225</v>
      </c>
      <c r="C1590" s="181" t="s">
        <v>379</v>
      </c>
      <c r="D1590" s="181"/>
      <c r="E1590" s="188">
        <v>72362</v>
      </c>
    </row>
    <row r="1591" spans="1:5" ht="15.75">
      <c r="A1591" s="132"/>
      <c r="B1591" s="130" t="s">
        <v>2226</v>
      </c>
      <c r="C1591" s="181" t="s">
        <v>379</v>
      </c>
      <c r="D1591" s="181"/>
      <c r="E1591" s="188">
        <v>82465</v>
      </c>
    </row>
    <row r="1592" spans="1:5" ht="15.75">
      <c r="A1592" s="132"/>
      <c r="B1592" s="130" t="s">
        <v>2227</v>
      </c>
      <c r="C1592" s="181" t="s">
        <v>379</v>
      </c>
      <c r="D1592" s="181"/>
      <c r="E1592" s="188">
        <v>84319</v>
      </c>
    </row>
    <row r="1593" spans="1:5" ht="15.75">
      <c r="A1593" s="132"/>
      <c r="B1593" s="130" t="s">
        <v>2228</v>
      </c>
      <c r="C1593" s="181" t="s">
        <v>379</v>
      </c>
      <c r="D1593" s="181"/>
      <c r="E1593" s="188">
        <v>95914</v>
      </c>
    </row>
    <row r="1594" spans="1:5" ht="15.75">
      <c r="A1594" s="132"/>
      <c r="B1594" s="130" t="s">
        <v>2229</v>
      </c>
      <c r="C1594" s="181" t="s">
        <v>379</v>
      </c>
      <c r="D1594" s="181"/>
      <c r="E1594" s="188">
        <v>98676</v>
      </c>
    </row>
    <row r="1595" spans="1:5" ht="15.75">
      <c r="A1595" s="132"/>
      <c r="B1595" s="130" t="s">
        <v>2230</v>
      </c>
      <c r="C1595" s="181" t="s">
        <v>379</v>
      </c>
      <c r="D1595" s="181"/>
      <c r="E1595" s="188">
        <v>102338</v>
      </c>
    </row>
    <row r="1596" spans="1:5" ht="15.75">
      <c r="A1596" s="132"/>
      <c r="B1596" s="130" t="s">
        <v>2231</v>
      </c>
      <c r="C1596" s="181" t="s">
        <v>379</v>
      </c>
      <c r="D1596" s="181"/>
      <c r="E1596" s="188">
        <v>115729</v>
      </c>
    </row>
    <row r="1597" spans="1:5" ht="15.75">
      <c r="A1597" s="132"/>
      <c r="B1597" s="130" t="s">
        <v>2232</v>
      </c>
      <c r="C1597" s="181" t="s">
        <v>379</v>
      </c>
      <c r="D1597" s="181"/>
      <c r="E1597" s="188">
        <v>114844</v>
      </c>
    </row>
    <row r="1598" spans="1:5" ht="29.25">
      <c r="A1598" s="132" t="s">
        <v>380</v>
      </c>
      <c r="B1598" s="145" t="s">
        <v>2285</v>
      </c>
      <c r="C1598" s="181"/>
      <c r="D1598" s="310" t="s">
        <v>2556</v>
      </c>
      <c r="E1598" s="188"/>
    </row>
    <row r="1599" spans="1:5" ht="15.75">
      <c r="A1599" s="132"/>
      <c r="B1599" s="130" t="s">
        <v>2233</v>
      </c>
      <c r="C1599" s="181" t="s">
        <v>379</v>
      </c>
      <c r="D1599" s="181"/>
      <c r="E1599" s="188">
        <v>49084</v>
      </c>
    </row>
    <row r="1600" spans="1:5" ht="15.75">
      <c r="A1600" s="132"/>
      <c r="B1600" s="130" t="s">
        <v>2234</v>
      </c>
      <c r="C1600" s="181" t="s">
        <v>379</v>
      </c>
      <c r="D1600" s="181"/>
      <c r="E1600" s="188">
        <v>56464</v>
      </c>
    </row>
    <row r="1601" spans="1:5" ht="15.75">
      <c r="A1601" s="132"/>
      <c r="B1601" s="130" t="s">
        <v>2235</v>
      </c>
      <c r="C1601" s="181" t="s">
        <v>379</v>
      </c>
      <c r="D1601" s="181"/>
      <c r="E1601" s="188">
        <v>68504</v>
      </c>
    </row>
    <row r="1602" spans="1:5" ht="15.75">
      <c r="A1602" s="132"/>
      <c r="B1602" s="130" t="s">
        <v>2236</v>
      </c>
      <c r="C1602" s="181" t="s">
        <v>379</v>
      </c>
      <c r="D1602" s="181"/>
      <c r="E1602" s="188">
        <v>84552</v>
      </c>
    </row>
    <row r="1603" spans="1:5" ht="15.75">
      <c r="A1603" s="132"/>
      <c r="B1603" s="130" t="s">
        <v>2237</v>
      </c>
      <c r="C1603" s="181" t="s">
        <v>379</v>
      </c>
      <c r="D1603" s="181"/>
      <c r="E1603" s="188">
        <v>95898</v>
      </c>
    </row>
    <row r="1604" spans="1:5" ht="15.75">
      <c r="A1604" s="132"/>
      <c r="B1604" s="130" t="s">
        <v>2238</v>
      </c>
      <c r="C1604" s="181" t="s">
        <v>379</v>
      </c>
      <c r="D1604" s="181"/>
      <c r="E1604" s="188">
        <v>98300</v>
      </c>
    </row>
    <row r="1605" spans="1:5" ht="15.75">
      <c r="A1605" s="132"/>
      <c r="B1605" s="130" t="s">
        <v>2239</v>
      </c>
      <c r="C1605" s="181" t="s">
        <v>379</v>
      </c>
      <c r="D1605" s="181"/>
      <c r="E1605" s="188">
        <v>110644</v>
      </c>
    </row>
    <row r="1606" spans="1:5" ht="15.75">
      <c r="A1606" s="132"/>
      <c r="B1606" s="130" t="s">
        <v>2240</v>
      </c>
      <c r="C1606" s="181" t="s">
        <v>379</v>
      </c>
      <c r="D1606" s="181"/>
      <c r="E1606" s="188">
        <v>113696</v>
      </c>
    </row>
    <row r="1607" spans="1:5" ht="15.75">
      <c r="A1607" s="132"/>
      <c r="B1607" s="130" t="s">
        <v>2241</v>
      </c>
      <c r="C1607" s="181" t="s">
        <v>379</v>
      </c>
      <c r="D1607" s="181"/>
      <c r="E1607" s="188">
        <v>117570</v>
      </c>
    </row>
    <row r="1608" spans="1:5" ht="15.75">
      <c r="A1608" s="132"/>
      <c r="B1608" s="130" t="s">
        <v>2242</v>
      </c>
      <c r="C1608" s="181" t="s">
        <v>379</v>
      </c>
      <c r="D1608" s="181"/>
      <c r="E1608" s="188">
        <v>132919</v>
      </c>
    </row>
    <row r="1609" spans="1:5" ht="15.75">
      <c r="A1609" s="132"/>
      <c r="B1609" s="145" t="s">
        <v>2243</v>
      </c>
      <c r="C1609" s="181"/>
      <c r="D1609" s="181"/>
      <c r="E1609" s="188"/>
    </row>
    <row r="1610" spans="1:5" ht="29.25">
      <c r="A1610" s="132" t="s">
        <v>380</v>
      </c>
      <c r="B1610" s="145" t="s">
        <v>2286</v>
      </c>
      <c r="C1610" s="181"/>
      <c r="D1610" s="310" t="s">
        <v>2557</v>
      </c>
      <c r="E1610" s="188"/>
    </row>
    <row r="1611" spans="1:5" ht="15.75">
      <c r="A1611" s="132"/>
      <c r="B1611" s="130" t="s">
        <v>2244</v>
      </c>
      <c r="C1611" s="181" t="s">
        <v>379</v>
      </c>
      <c r="D1611" s="181"/>
      <c r="E1611" s="188">
        <v>446315.1633729891</v>
      </c>
    </row>
    <row r="1612" spans="1:5" ht="15.75">
      <c r="A1612" s="132"/>
      <c r="B1612" s="130" t="s">
        <v>2245</v>
      </c>
      <c r="C1612" s="181" t="s">
        <v>379</v>
      </c>
      <c r="D1612" s="181"/>
      <c r="E1612" s="188">
        <v>480033.6917935055</v>
      </c>
    </row>
    <row r="1613" spans="1:5" ht="15.75">
      <c r="A1613" s="132"/>
      <c r="B1613" s="130" t="s">
        <v>2246</v>
      </c>
      <c r="C1613" s="181" t="s">
        <v>379</v>
      </c>
      <c r="D1613" s="181"/>
      <c r="E1613" s="188">
        <v>539375.9363140671</v>
      </c>
    </row>
    <row r="1614" spans="1:5" ht="15.75">
      <c r="A1614" s="132"/>
      <c r="B1614" s="130" t="s">
        <v>2247</v>
      </c>
      <c r="C1614" s="181" t="s">
        <v>379</v>
      </c>
      <c r="D1614" s="181"/>
      <c r="E1614" s="188">
        <v>606501.3477556955</v>
      </c>
    </row>
    <row r="1615" spans="1:5" ht="15.75">
      <c r="A1615" s="132"/>
      <c r="B1615" s="130" t="s">
        <v>2248</v>
      </c>
      <c r="C1615" s="181" t="s">
        <v>379</v>
      </c>
      <c r="D1615" s="181"/>
      <c r="E1615" s="188">
        <v>664573.6693924713</v>
      </c>
    </row>
    <row r="1616" spans="1:5" ht="15.75">
      <c r="A1616" s="132"/>
      <c r="B1616" s="130" t="s">
        <v>2249</v>
      </c>
      <c r="C1616" s="181" t="s">
        <v>379</v>
      </c>
      <c r="D1616" s="181"/>
      <c r="E1616" s="188">
        <v>739189.168822551</v>
      </c>
    </row>
    <row r="1617" spans="1:5" ht="15.75">
      <c r="A1617" s="132"/>
      <c r="B1617" s="130" t="s">
        <v>2250</v>
      </c>
      <c r="C1617" s="181" t="s">
        <v>379</v>
      </c>
      <c r="D1617" s="181"/>
      <c r="E1617" s="188">
        <v>816044.0587753834</v>
      </c>
    </row>
    <row r="1618" spans="1:5" ht="15.75">
      <c r="A1618" s="132"/>
      <c r="B1618" s="130" t="s">
        <v>2251</v>
      </c>
      <c r="C1618" s="181" t="s">
        <v>379</v>
      </c>
      <c r="D1618" s="181"/>
      <c r="E1618" s="188">
        <v>981733.9719083689</v>
      </c>
    </row>
    <row r="1619" spans="1:5" ht="15.75">
      <c r="A1619" s="132"/>
      <c r="B1619" s="130" t="s">
        <v>2252</v>
      </c>
      <c r="C1619" s="181" t="s">
        <v>379</v>
      </c>
      <c r="D1619" s="181"/>
      <c r="E1619" s="188">
        <v>1100921.9185070423</v>
      </c>
    </row>
    <row r="1620" spans="1:5" ht="15.75">
      <c r="A1620" s="132"/>
      <c r="B1620" s="130" t="s">
        <v>2253</v>
      </c>
      <c r="C1620" s="181" t="s">
        <v>379</v>
      </c>
      <c r="D1620" s="181"/>
      <c r="E1620" s="188">
        <v>1278025.9707308833</v>
      </c>
    </row>
    <row r="1621" spans="1:5" ht="29.25">
      <c r="A1621" s="132" t="s">
        <v>380</v>
      </c>
      <c r="B1621" s="145" t="s">
        <v>2287</v>
      </c>
      <c r="C1621" s="181"/>
      <c r="D1621" s="310" t="s">
        <v>2557</v>
      </c>
      <c r="E1621" s="188"/>
    </row>
    <row r="1622" spans="1:5" ht="15.75">
      <c r="A1622" s="132"/>
      <c r="B1622" s="130" t="s">
        <v>2254</v>
      </c>
      <c r="C1622" s="181" t="s">
        <v>379</v>
      </c>
      <c r="D1622" s="181"/>
      <c r="E1622" s="188">
        <v>218979.30223910348</v>
      </c>
    </row>
    <row r="1623" spans="1:5" ht="15.75">
      <c r="A1623" s="132"/>
      <c r="B1623" s="130" t="s">
        <v>2255</v>
      </c>
      <c r="C1623" s="181" t="s">
        <v>379</v>
      </c>
      <c r="D1623" s="181"/>
      <c r="E1623" s="188">
        <v>241766.15472198615</v>
      </c>
    </row>
    <row r="1624" spans="1:5" ht="15.75">
      <c r="A1624" s="132"/>
      <c r="B1624" s="130" t="s">
        <v>2256</v>
      </c>
      <c r="C1624" s="181" t="s">
        <v>379</v>
      </c>
      <c r="D1624" s="181"/>
      <c r="E1624" s="188">
        <v>266227.6800080556</v>
      </c>
    </row>
    <row r="1625" spans="1:5" ht="15.75">
      <c r="A1625" s="132"/>
      <c r="B1625" s="130" t="s">
        <v>2257</v>
      </c>
      <c r="C1625" s="181" t="s">
        <v>379</v>
      </c>
      <c r="D1625" s="181"/>
      <c r="E1625" s="188">
        <v>285216.8457695662</v>
      </c>
    </row>
    <row r="1626" spans="1:5" ht="15.75">
      <c r="A1626" s="132"/>
      <c r="B1626" s="130" t="s">
        <v>2258</v>
      </c>
      <c r="C1626" s="181" t="s">
        <v>379</v>
      </c>
      <c r="D1626" s="181"/>
      <c r="E1626" s="188">
        <v>309168.6494079628</v>
      </c>
    </row>
    <row r="1627" spans="1:5" ht="15.75">
      <c r="A1627" s="132"/>
      <c r="B1627" s="130" t="s">
        <v>2259</v>
      </c>
      <c r="C1627" s="181" t="s">
        <v>379</v>
      </c>
      <c r="D1627" s="181"/>
      <c r="E1627" s="188">
        <v>338924.3093781583</v>
      </c>
    </row>
    <row r="1628" spans="1:5" ht="15.75">
      <c r="A1628" s="132"/>
      <c r="B1628" s="130" t="s">
        <v>2260</v>
      </c>
      <c r="C1628" s="181" t="s">
        <v>379</v>
      </c>
      <c r="D1628" s="181"/>
      <c r="E1628" s="188">
        <v>380720.68214387115</v>
      </c>
    </row>
    <row r="1629" spans="1:5" ht="15.75">
      <c r="A1629" s="132"/>
      <c r="B1629" s="130" t="s">
        <v>2261</v>
      </c>
      <c r="C1629" s="181" t="s">
        <v>379</v>
      </c>
      <c r="D1629" s="181"/>
      <c r="E1629" s="188">
        <v>420405.80626238126</v>
      </c>
    </row>
    <row r="1630" spans="1:5" ht="15.75">
      <c r="A1630" s="132"/>
      <c r="B1630" s="130" t="s">
        <v>2262</v>
      </c>
      <c r="C1630" s="181" t="s">
        <v>379</v>
      </c>
      <c r="D1630" s="181"/>
      <c r="E1630" s="188">
        <v>479850.89509862</v>
      </c>
    </row>
    <row r="1631" spans="1:5" ht="15.75">
      <c r="A1631" s="132"/>
      <c r="B1631" s="130" t="s">
        <v>2263</v>
      </c>
      <c r="C1631" s="181" t="s">
        <v>379</v>
      </c>
      <c r="D1631" s="181"/>
      <c r="E1631" s="188">
        <v>553613.950630015</v>
      </c>
    </row>
    <row r="1632" spans="1:5" ht="30">
      <c r="A1632" s="131" t="s">
        <v>1268</v>
      </c>
      <c r="B1632" s="145" t="s">
        <v>1968</v>
      </c>
      <c r="C1632" s="181"/>
      <c r="D1632" s="181"/>
      <c r="E1632" s="188"/>
    </row>
    <row r="1633" spans="1:5" ht="30">
      <c r="A1633" s="131"/>
      <c r="B1633" s="198" t="s">
        <v>1948</v>
      </c>
      <c r="C1633" s="181"/>
      <c r="D1633" s="181"/>
      <c r="E1633" s="188"/>
    </row>
    <row r="1634" spans="1:5" ht="15.75">
      <c r="A1634" s="203" t="s">
        <v>380</v>
      </c>
      <c r="B1634" s="204" t="s">
        <v>1929</v>
      </c>
      <c r="C1634" s="205"/>
      <c r="D1634" s="310" t="s">
        <v>2536</v>
      </c>
      <c r="E1634" s="206"/>
    </row>
    <row r="1635" spans="1:5" ht="15.75">
      <c r="A1635" s="207"/>
      <c r="B1635" s="208" t="s">
        <v>806</v>
      </c>
      <c r="C1635" s="209" t="s">
        <v>379</v>
      </c>
      <c r="D1635" s="209"/>
      <c r="E1635" s="210">
        <v>7000</v>
      </c>
    </row>
    <row r="1636" spans="1:5" ht="15.75">
      <c r="A1636" s="207"/>
      <c r="B1636" s="208" t="s">
        <v>1514</v>
      </c>
      <c r="C1636" s="209" t="s">
        <v>379</v>
      </c>
      <c r="D1636" s="209"/>
      <c r="E1636" s="210">
        <v>9700</v>
      </c>
    </row>
    <row r="1637" spans="1:5" ht="15.75">
      <c r="A1637" s="207"/>
      <c r="B1637" s="208" t="s">
        <v>1515</v>
      </c>
      <c r="C1637" s="209" t="s">
        <v>379</v>
      </c>
      <c r="D1637" s="209"/>
      <c r="E1637" s="210">
        <v>11250</v>
      </c>
    </row>
    <row r="1638" spans="1:5" ht="15.75">
      <c r="A1638" s="207"/>
      <c r="B1638" s="208" t="s">
        <v>1516</v>
      </c>
      <c r="C1638" s="209" t="s">
        <v>379</v>
      </c>
      <c r="D1638" s="209"/>
      <c r="E1638" s="210">
        <v>14400</v>
      </c>
    </row>
    <row r="1639" spans="1:5" ht="15.75">
      <c r="A1639" s="207"/>
      <c r="B1639" s="208" t="s">
        <v>1517</v>
      </c>
      <c r="C1639" s="209" t="s">
        <v>379</v>
      </c>
      <c r="D1639" s="209"/>
      <c r="E1639" s="210">
        <v>17500</v>
      </c>
    </row>
    <row r="1640" spans="1:5" ht="15.75">
      <c r="A1640" s="207"/>
      <c r="B1640" s="208" t="s">
        <v>1518</v>
      </c>
      <c r="C1640" s="209" t="s">
        <v>379</v>
      </c>
      <c r="D1640" s="209"/>
      <c r="E1640" s="210">
        <v>26900</v>
      </c>
    </row>
    <row r="1641" spans="1:5" ht="15.75">
      <c r="A1641" s="207"/>
      <c r="B1641" s="208" t="s">
        <v>1519</v>
      </c>
      <c r="C1641" s="209" t="s">
        <v>379</v>
      </c>
      <c r="D1641" s="209"/>
      <c r="E1641" s="210">
        <v>37600</v>
      </c>
    </row>
    <row r="1642" spans="1:5" ht="15.75">
      <c r="A1642" s="207"/>
      <c r="B1642" s="208" t="s">
        <v>1520</v>
      </c>
      <c r="C1642" s="209" t="s">
        <v>379</v>
      </c>
      <c r="D1642" s="209"/>
      <c r="E1642" s="210">
        <v>47500</v>
      </c>
    </row>
    <row r="1643" spans="1:5" ht="15.75">
      <c r="A1643" s="203" t="s">
        <v>380</v>
      </c>
      <c r="B1643" s="204" t="s">
        <v>1928</v>
      </c>
      <c r="C1643" s="211"/>
      <c r="D1643" s="310" t="s">
        <v>2536</v>
      </c>
      <c r="E1643" s="206"/>
    </row>
    <row r="1644" spans="1:5" ht="15.75">
      <c r="A1644" s="207"/>
      <c r="B1644" s="208" t="s">
        <v>1521</v>
      </c>
      <c r="C1644" s="209" t="s">
        <v>379</v>
      </c>
      <c r="D1644" s="310"/>
      <c r="E1644" s="210">
        <v>7200</v>
      </c>
    </row>
    <row r="1645" spans="1:5" ht="15.75">
      <c r="A1645" s="207"/>
      <c r="B1645" s="208" t="s">
        <v>1522</v>
      </c>
      <c r="C1645" s="209" t="s">
        <v>379</v>
      </c>
      <c r="D1645" s="310"/>
      <c r="E1645" s="210">
        <v>9600</v>
      </c>
    </row>
    <row r="1646" spans="1:5" ht="15.75">
      <c r="A1646" s="207"/>
      <c r="B1646" s="208" t="s">
        <v>1523</v>
      </c>
      <c r="C1646" s="209" t="s">
        <v>379</v>
      </c>
      <c r="D1646" s="310"/>
      <c r="E1646" s="210">
        <v>11400</v>
      </c>
    </row>
    <row r="1647" spans="1:5" ht="15.75">
      <c r="A1647" s="207"/>
      <c r="B1647" s="208" t="s">
        <v>1524</v>
      </c>
      <c r="C1647" s="209" t="s">
        <v>379</v>
      </c>
      <c r="D1647" s="310"/>
      <c r="E1647" s="210">
        <v>18400</v>
      </c>
    </row>
    <row r="1648" spans="1:5" ht="15.75">
      <c r="A1648" s="207"/>
      <c r="B1648" s="208" t="s">
        <v>1525</v>
      </c>
      <c r="C1648" s="209" t="s">
        <v>379</v>
      </c>
      <c r="D1648" s="310"/>
      <c r="E1648" s="210">
        <v>27500</v>
      </c>
    </row>
    <row r="1649" spans="1:5" ht="15.75">
      <c r="A1649" s="203" t="s">
        <v>380</v>
      </c>
      <c r="B1649" s="204" t="s">
        <v>1927</v>
      </c>
      <c r="C1649" s="211"/>
      <c r="D1649" s="310" t="s">
        <v>2538</v>
      </c>
      <c r="E1649" s="206"/>
    </row>
    <row r="1650" spans="1:5" ht="15.75">
      <c r="A1650" s="207"/>
      <c r="B1650" s="208" t="s">
        <v>807</v>
      </c>
      <c r="C1650" s="209" t="s">
        <v>379</v>
      </c>
      <c r="D1650" s="310"/>
      <c r="E1650" s="210">
        <v>15300</v>
      </c>
    </row>
    <row r="1651" spans="1:5" ht="15.75">
      <c r="A1651" s="207"/>
      <c r="B1651" s="208" t="s">
        <v>1526</v>
      </c>
      <c r="C1651" s="209" t="s">
        <v>379</v>
      </c>
      <c r="D1651" s="310"/>
      <c r="E1651" s="210">
        <v>21200</v>
      </c>
    </row>
    <row r="1652" spans="1:5" ht="15.75">
      <c r="A1652" s="207"/>
      <c r="B1652" s="208" t="s">
        <v>1527</v>
      </c>
      <c r="C1652" s="209" t="s">
        <v>379</v>
      </c>
      <c r="D1652" s="310"/>
      <c r="E1652" s="210">
        <v>24500</v>
      </c>
    </row>
    <row r="1653" spans="1:5" ht="15.75">
      <c r="A1653" s="207"/>
      <c r="B1653" s="208" t="s">
        <v>1528</v>
      </c>
      <c r="C1653" s="209" t="s">
        <v>379</v>
      </c>
      <c r="D1653" s="310"/>
      <c r="E1653" s="210">
        <v>31300</v>
      </c>
    </row>
    <row r="1654" spans="1:5" ht="15.75">
      <c r="A1654" s="207"/>
      <c r="B1654" s="208" t="s">
        <v>1529</v>
      </c>
      <c r="C1654" s="209" t="s">
        <v>379</v>
      </c>
      <c r="D1654" s="310"/>
      <c r="E1654" s="210">
        <v>39000</v>
      </c>
    </row>
    <row r="1655" spans="1:5" ht="15.75">
      <c r="A1655" s="207"/>
      <c r="B1655" s="208" t="s">
        <v>1530</v>
      </c>
      <c r="C1655" s="209" t="s">
        <v>379</v>
      </c>
      <c r="D1655" s="310"/>
      <c r="E1655" s="210">
        <v>58000</v>
      </c>
    </row>
    <row r="1656" spans="1:5" ht="15.75">
      <c r="A1656" s="203" t="s">
        <v>380</v>
      </c>
      <c r="B1656" s="204" t="s">
        <v>1926</v>
      </c>
      <c r="C1656" s="211"/>
      <c r="D1656" s="310" t="s">
        <v>2538</v>
      </c>
      <c r="E1656" s="206"/>
    </row>
    <row r="1657" spans="1:5" ht="15.75">
      <c r="A1657" s="207"/>
      <c r="B1657" s="208" t="s">
        <v>1930</v>
      </c>
      <c r="C1657" s="209" t="s">
        <v>379</v>
      </c>
      <c r="D1657" s="310"/>
      <c r="E1657" s="210">
        <v>9800</v>
      </c>
    </row>
    <row r="1658" spans="1:5" ht="15.75">
      <c r="A1658" s="207"/>
      <c r="B1658" s="208" t="s">
        <v>1931</v>
      </c>
      <c r="C1658" s="209" t="s">
        <v>379</v>
      </c>
      <c r="D1658" s="310"/>
      <c r="E1658" s="210">
        <v>14000</v>
      </c>
    </row>
    <row r="1659" spans="1:5" ht="15.75">
      <c r="A1659" s="207"/>
      <c r="B1659" s="208" t="s">
        <v>1932</v>
      </c>
      <c r="C1659" s="209" t="s">
        <v>379</v>
      </c>
      <c r="D1659" s="310"/>
      <c r="E1659" s="210">
        <v>19500</v>
      </c>
    </row>
    <row r="1660" spans="1:5" ht="15.75">
      <c r="A1660" s="207"/>
      <c r="B1660" s="208" t="s">
        <v>1933</v>
      </c>
      <c r="C1660" s="209" t="s">
        <v>379</v>
      </c>
      <c r="D1660" s="310"/>
      <c r="E1660" s="210">
        <v>22000</v>
      </c>
    </row>
    <row r="1661" spans="1:5" ht="15.75">
      <c r="A1661" s="203" t="s">
        <v>380</v>
      </c>
      <c r="B1661" s="212" t="s">
        <v>1934</v>
      </c>
      <c r="C1661" s="211"/>
      <c r="D1661" s="310" t="s">
        <v>2538</v>
      </c>
      <c r="E1661" s="206"/>
    </row>
    <row r="1662" spans="1:5" ht="15.75">
      <c r="A1662" s="207"/>
      <c r="B1662" s="208" t="s">
        <v>809</v>
      </c>
      <c r="C1662" s="209" t="s">
        <v>379</v>
      </c>
      <c r="D1662" s="310"/>
      <c r="E1662" s="210">
        <v>31200</v>
      </c>
    </row>
    <row r="1663" spans="1:5" ht="15.75">
      <c r="A1663" s="207"/>
      <c r="B1663" s="208" t="s">
        <v>1531</v>
      </c>
      <c r="C1663" s="209" t="s">
        <v>379</v>
      </c>
      <c r="D1663" s="310"/>
      <c r="E1663" s="210">
        <v>46200</v>
      </c>
    </row>
    <row r="1664" spans="1:5" ht="15.75">
      <c r="A1664" s="207"/>
      <c r="B1664" s="208" t="s">
        <v>1532</v>
      </c>
      <c r="C1664" s="209" t="s">
        <v>379</v>
      </c>
      <c r="D1664" s="310"/>
      <c r="E1664" s="210">
        <v>50500</v>
      </c>
    </row>
    <row r="1665" spans="1:5" ht="15.75">
      <c r="A1665" s="207"/>
      <c r="B1665" s="208" t="s">
        <v>1533</v>
      </c>
      <c r="C1665" s="209" t="s">
        <v>379</v>
      </c>
      <c r="D1665" s="310"/>
      <c r="E1665" s="210">
        <v>62300</v>
      </c>
    </row>
    <row r="1666" spans="1:5" ht="15.75">
      <c r="A1666" s="207"/>
      <c r="B1666" s="208" t="s">
        <v>1534</v>
      </c>
      <c r="C1666" s="209" t="s">
        <v>379</v>
      </c>
      <c r="D1666" s="310"/>
      <c r="E1666" s="210">
        <v>78500</v>
      </c>
    </row>
    <row r="1667" spans="1:5" ht="15.75">
      <c r="A1667" s="207"/>
      <c r="B1667" s="208" t="s">
        <v>1535</v>
      </c>
      <c r="C1667" s="209" t="s">
        <v>379</v>
      </c>
      <c r="D1667" s="310"/>
      <c r="E1667" s="210">
        <v>117500</v>
      </c>
    </row>
    <row r="1668" spans="1:5" ht="15.75" customHeight="1">
      <c r="A1668" s="207"/>
      <c r="B1668" s="208" t="s">
        <v>1935</v>
      </c>
      <c r="C1668" s="209" t="s">
        <v>379</v>
      </c>
      <c r="D1668" s="310"/>
      <c r="E1668" s="210">
        <v>83000</v>
      </c>
    </row>
    <row r="1669" spans="1:5" ht="15.75">
      <c r="A1669" s="207"/>
      <c r="B1669" s="208" t="s">
        <v>1936</v>
      </c>
      <c r="C1669" s="209" t="s">
        <v>379</v>
      </c>
      <c r="D1669" s="310"/>
      <c r="E1669" s="210">
        <v>114000</v>
      </c>
    </row>
    <row r="1670" spans="1:5" ht="30">
      <c r="A1670" s="203" t="s">
        <v>380</v>
      </c>
      <c r="B1670" s="212" t="s">
        <v>1937</v>
      </c>
      <c r="C1670" s="211"/>
      <c r="D1670" s="310" t="s">
        <v>2558</v>
      </c>
      <c r="E1670" s="206"/>
    </row>
    <row r="1671" spans="1:5" ht="15.75">
      <c r="A1671" s="207"/>
      <c r="B1671" s="208" t="s">
        <v>1536</v>
      </c>
      <c r="C1671" s="209" t="s">
        <v>379</v>
      </c>
      <c r="D1671" s="310"/>
      <c r="E1671" s="210">
        <v>19000</v>
      </c>
    </row>
    <row r="1672" spans="1:5" ht="15.75">
      <c r="A1672" s="207"/>
      <c r="B1672" s="208" t="s">
        <v>1537</v>
      </c>
      <c r="C1672" s="209" t="s">
        <v>379</v>
      </c>
      <c r="D1672" s="310"/>
      <c r="E1672" s="210">
        <v>27500</v>
      </c>
    </row>
    <row r="1673" spans="1:5" ht="15.75">
      <c r="A1673" s="207"/>
      <c r="B1673" s="208" t="s">
        <v>1538</v>
      </c>
      <c r="C1673" s="209" t="s">
        <v>379</v>
      </c>
      <c r="D1673" s="310"/>
      <c r="E1673" s="210">
        <v>44500</v>
      </c>
    </row>
    <row r="1674" spans="1:5" ht="15.75">
      <c r="A1674" s="207"/>
      <c r="B1674" s="208" t="s">
        <v>1539</v>
      </c>
      <c r="C1674" s="209" t="s">
        <v>379</v>
      </c>
      <c r="D1674" s="310"/>
      <c r="E1674" s="210">
        <v>68000</v>
      </c>
    </row>
    <row r="1675" spans="1:5" ht="15.75">
      <c r="A1675" s="207"/>
      <c r="B1675" s="208" t="s">
        <v>1540</v>
      </c>
      <c r="C1675" s="209" t="s">
        <v>379</v>
      </c>
      <c r="D1675" s="310"/>
      <c r="E1675" s="210">
        <v>106000</v>
      </c>
    </row>
    <row r="1676" spans="1:5" ht="15.75">
      <c r="A1676" s="207"/>
      <c r="B1676" s="208" t="s">
        <v>1541</v>
      </c>
      <c r="C1676" s="209" t="s">
        <v>379</v>
      </c>
      <c r="D1676" s="310"/>
      <c r="E1676" s="210">
        <v>145000</v>
      </c>
    </row>
    <row r="1677" spans="1:5" ht="20.25" customHeight="1">
      <c r="A1677" s="207"/>
      <c r="B1677" s="208" t="s">
        <v>1542</v>
      </c>
      <c r="C1677" s="209" t="s">
        <v>379</v>
      </c>
      <c r="D1677" s="310"/>
      <c r="E1677" s="210">
        <v>198000</v>
      </c>
    </row>
    <row r="1678" spans="1:5" ht="15.75">
      <c r="A1678" s="207"/>
      <c r="B1678" s="208" t="s">
        <v>1543</v>
      </c>
      <c r="C1678" s="209" t="s">
        <v>379</v>
      </c>
      <c r="D1678" s="310"/>
      <c r="E1678" s="210">
        <v>285000</v>
      </c>
    </row>
    <row r="1679" spans="1:5" ht="15.75">
      <c r="A1679" s="207"/>
      <c r="B1679" s="208" t="s">
        <v>1544</v>
      </c>
      <c r="C1679" s="209" t="s">
        <v>379</v>
      </c>
      <c r="D1679" s="310"/>
      <c r="E1679" s="210">
        <v>392000</v>
      </c>
    </row>
    <row r="1680" spans="1:5" ht="15.75">
      <c r="A1680" s="207"/>
      <c r="B1680" s="208" t="s">
        <v>1545</v>
      </c>
      <c r="C1680" s="209" t="s">
        <v>379</v>
      </c>
      <c r="D1680" s="310"/>
      <c r="E1680" s="210">
        <v>495000</v>
      </c>
    </row>
    <row r="1681" spans="1:5" ht="15.75">
      <c r="A1681" s="207"/>
      <c r="B1681" s="208" t="s">
        <v>1546</v>
      </c>
      <c r="C1681" s="209" t="s">
        <v>379</v>
      </c>
      <c r="D1681" s="310"/>
      <c r="E1681" s="210">
        <v>620000</v>
      </c>
    </row>
    <row r="1682" spans="1:5" ht="15.75">
      <c r="A1682" s="207"/>
      <c r="B1682" s="208" t="s">
        <v>1547</v>
      </c>
      <c r="C1682" s="209"/>
      <c r="D1682" s="310"/>
      <c r="E1682" s="210">
        <v>770000</v>
      </c>
    </row>
    <row r="1683" spans="1:5" ht="24" customHeight="1">
      <c r="A1683" s="203" t="s">
        <v>380</v>
      </c>
      <c r="B1683" s="213" t="s">
        <v>1938</v>
      </c>
      <c r="C1683" s="211"/>
      <c r="D1683" s="310" t="s">
        <v>2558</v>
      </c>
      <c r="E1683" s="206"/>
    </row>
    <row r="1684" spans="1:5" ht="15.75">
      <c r="A1684" s="207"/>
      <c r="B1684" s="208" t="s">
        <v>1548</v>
      </c>
      <c r="C1684" s="209" t="s">
        <v>379</v>
      </c>
      <c r="D1684" s="310"/>
      <c r="E1684" s="210">
        <v>20800</v>
      </c>
    </row>
    <row r="1685" spans="1:5" ht="15.75">
      <c r="A1685" s="207"/>
      <c r="B1685" s="208" t="s">
        <v>1549</v>
      </c>
      <c r="C1685" s="209" t="s">
        <v>379</v>
      </c>
      <c r="D1685" s="310"/>
      <c r="E1685" s="210">
        <v>29500</v>
      </c>
    </row>
    <row r="1686" spans="1:5" ht="15.75">
      <c r="A1686" s="207"/>
      <c r="B1686" s="208" t="s">
        <v>1550</v>
      </c>
      <c r="C1686" s="209" t="s">
        <v>379</v>
      </c>
      <c r="D1686" s="310"/>
      <c r="E1686" s="210">
        <v>45500</v>
      </c>
    </row>
    <row r="1687" spans="1:5" ht="15.75">
      <c r="A1687" s="207"/>
      <c r="B1687" s="208" t="s">
        <v>1551</v>
      </c>
      <c r="C1687" s="209" t="s">
        <v>379</v>
      </c>
      <c r="D1687" s="310"/>
      <c r="E1687" s="210">
        <v>71000</v>
      </c>
    </row>
    <row r="1688" spans="1:5" ht="15.75">
      <c r="A1688" s="207"/>
      <c r="B1688" s="208" t="s">
        <v>1552</v>
      </c>
      <c r="C1688" s="209" t="s">
        <v>379</v>
      </c>
      <c r="D1688" s="310"/>
      <c r="E1688" s="210">
        <v>108000</v>
      </c>
    </row>
    <row r="1689" spans="1:5" ht="15.75">
      <c r="A1689" s="207"/>
      <c r="B1689" s="208" t="s">
        <v>1553</v>
      </c>
      <c r="C1689" s="209" t="s">
        <v>379</v>
      </c>
      <c r="D1689" s="310"/>
      <c r="E1689" s="210">
        <v>150000</v>
      </c>
    </row>
    <row r="1690" spans="1:5" ht="16.5" customHeight="1">
      <c r="A1690" s="207"/>
      <c r="B1690" s="208" t="s">
        <v>1554</v>
      </c>
      <c r="C1690" s="209" t="s">
        <v>379</v>
      </c>
      <c r="D1690" s="310"/>
      <c r="E1690" s="210">
        <v>200000</v>
      </c>
    </row>
    <row r="1691" spans="1:5" ht="15.75">
      <c r="A1691" s="207"/>
      <c r="B1691" s="208" t="s">
        <v>802</v>
      </c>
      <c r="C1691" s="209" t="s">
        <v>379</v>
      </c>
      <c r="D1691" s="310"/>
      <c r="E1691" s="210">
        <v>287000</v>
      </c>
    </row>
    <row r="1692" spans="1:5" ht="15.75">
      <c r="A1692" s="207"/>
      <c r="B1692" s="208" t="s">
        <v>1555</v>
      </c>
      <c r="C1692" s="209" t="s">
        <v>379</v>
      </c>
      <c r="D1692" s="310"/>
      <c r="E1692" s="210">
        <v>395000</v>
      </c>
    </row>
    <row r="1693" spans="1:5" ht="15.75">
      <c r="A1693" s="207"/>
      <c r="B1693" s="208" t="s">
        <v>1556</v>
      </c>
      <c r="C1693" s="209" t="s">
        <v>379</v>
      </c>
      <c r="D1693" s="310"/>
      <c r="E1693" s="210">
        <v>498000</v>
      </c>
    </row>
    <row r="1694" spans="1:5" ht="15.75">
      <c r="A1694" s="207"/>
      <c r="B1694" s="208" t="s">
        <v>1557</v>
      </c>
      <c r="C1694" s="209" t="s">
        <v>379</v>
      </c>
      <c r="D1694" s="310"/>
      <c r="E1694" s="210">
        <v>630000</v>
      </c>
    </row>
    <row r="1695" spans="1:5" ht="15.75">
      <c r="A1695" s="207"/>
      <c r="B1695" s="208" t="s">
        <v>1558</v>
      </c>
      <c r="C1695" s="209" t="s">
        <v>379</v>
      </c>
      <c r="D1695" s="310"/>
      <c r="E1695" s="210">
        <v>785000</v>
      </c>
    </row>
    <row r="1696" spans="1:5" ht="30">
      <c r="A1696" s="203" t="s">
        <v>380</v>
      </c>
      <c r="B1696" s="212" t="s">
        <v>1939</v>
      </c>
      <c r="C1696" s="211"/>
      <c r="D1696" s="310" t="s">
        <v>2558</v>
      </c>
      <c r="E1696" s="206"/>
    </row>
    <row r="1697" spans="1:5" ht="15.75">
      <c r="A1697" s="207"/>
      <c r="B1697" s="208" t="s">
        <v>1559</v>
      </c>
      <c r="C1697" s="209" t="s">
        <v>379</v>
      </c>
      <c r="D1697" s="310"/>
      <c r="E1697" s="210">
        <v>170000</v>
      </c>
    </row>
    <row r="1698" spans="1:5" ht="15.75">
      <c r="A1698" s="207"/>
      <c r="B1698" s="208" t="s">
        <v>1560</v>
      </c>
      <c r="C1698" s="209" t="s">
        <v>379</v>
      </c>
      <c r="D1698" s="310"/>
      <c r="E1698" s="210">
        <v>265000</v>
      </c>
    </row>
    <row r="1699" spans="1:5" ht="15.75">
      <c r="A1699" s="207"/>
      <c r="B1699" s="208" t="s">
        <v>1561</v>
      </c>
      <c r="C1699" s="209" t="s">
        <v>379</v>
      </c>
      <c r="D1699" s="310"/>
      <c r="E1699" s="210">
        <v>400000</v>
      </c>
    </row>
    <row r="1700" spans="1:5" ht="15.75">
      <c r="A1700" s="207"/>
      <c r="B1700" s="208" t="s">
        <v>1562</v>
      </c>
      <c r="C1700" s="209" t="s">
        <v>379</v>
      </c>
      <c r="D1700" s="310"/>
      <c r="E1700" s="210">
        <v>522000</v>
      </c>
    </row>
    <row r="1701" spans="1:5" ht="15.75">
      <c r="A1701" s="207"/>
      <c r="B1701" s="208" t="s">
        <v>1563</v>
      </c>
      <c r="C1701" s="209" t="s">
        <v>379</v>
      </c>
      <c r="D1701" s="310"/>
      <c r="E1701" s="210">
        <v>730000</v>
      </c>
    </row>
    <row r="1702" spans="1:5" ht="15.75">
      <c r="A1702" s="207"/>
      <c r="B1702" s="208" t="s">
        <v>1564</v>
      </c>
      <c r="C1702" s="209" t="s">
        <v>379</v>
      </c>
      <c r="D1702" s="310"/>
      <c r="E1702" s="210">
        <v>1020000</v>
      </c>
    </row>
    <row r="1703" spans="1:5" ht="15.75">
      <c r="A1703" s="207"/>
      <c r="B1703" s="208" t="s">
        <v>1565</v>
      </c>
      <c r="C1703" s="209" t="s">
        <v>379</v>
      </c>
      <c r="D1703" s="310"/>
      <c r="E1703" s="210">
        <v>1405000</v>
      </c>
    </row>
    <row r="1704" spans="1:5" ht="15.75">
      <c r="A1704" s="207"/>
      <c r="B1704" s="208" t="s">
        <v>1566</v>
      </c>
      <c r="C1704" s="209" t="s">
        <v>379</v>
      </c>
      <c r="D1704" s="310"/>
      <c r="E1704" s="210">
        <v>1800000</v>
      </c>
    </row>
    <row r="1705" spans="1:5" ht="15.75">
      <c r="A1705" s="207"/>
      <c r="B1705" s="208" t="s">
        <v>1567</v>
      </c>
      <c r="C1705" s="209" t="s">
        <v>379</v>
      </c>
      <c r="D1705" s="310"/>
      <c r="E1705" s="210">
        <v>2275000</v>
      </c>
    </row>
    <row r="1706" spans="1:5" ht="15.75">
      <c r="A1706" s="207"/>
      <c r="B1706" s="208" t="s">
        <v>1568</v>
      </c>
      <c r="C1706" s="209" t="s">
        <v>379</v>
      </c>
      <c r="D1706" s="310"/>
      <c r="E1706" s="210">
        <v>2850000</v>
      </c>
    </row>
    <row r="1707" spans="1:5" ht="22.5" customHeight="1">
      <c r="A1707" s="203" t="s">
        <v>380</v>
      </c>
      <c r="B1707" s="213" t="s">
        <v>1940</v>
      </c>
      <c r="C1707" s="211"/>
      <c r="D1707" s="310" t="s">
        <v>2558</v>
      </c>
      <c r="E1707" s="206"/>
    </row>
    <row r="1708" spans="1:5" ht="15.75">
      <c r="A1708" s="207"/>
      <c r="B1708" s="208" t="s">
        <v>1569</v>
      </c>
      <c r="C1708" s="209" t="s">
        <v>379</v>
      </c>
      <c r="D1708" s="310"/>
      <c r="E1708" s="210">
        <v>185000</v>
      </c>
    </row>
    <row r="1709" spans="1:5" ht="15.75">
      <c r="A1709" s="207"/>
      <c r="B1709" s="208" t="s">
        <v>1570</v>
      </c>
      <c r="C1709" s="209" t="s">
        <v>379</v>
      </c>
      <c r="D1709" s="310"/>
      <c r="E1709" s="210">
        <v>285000</v>
      </c>
    </row>
    <row r="1710" spans="1:5" ht="15.75">
      <c r="A1710" s="207"/>
      <c r="B1710" s="208" t="s">
        <v>1571</v>
      </c>
      <c r="C1710" s="209" t="s">
        <v>379</v>
      </c>
      <c r="D1710" s="310"/>
      <c r="E1710" s="210">
        <v>440000</v>
      </c>
    </row>
    <row r="1711" spans="1:5" ht="15.75">
      <c r="A1711" s="207"/>
      <c r="B1711" s="208" t="s">
        <v>1572</v>
      </c>
      <c r="C1711" s="209" t="s">
        <v>379</v>
      </c>
      <c r="D1711" s="310"/>
      <c r="E1711" s="210">
        <v>605000</v>
      </c>
    </row>
    <row r="1712" spans="1:5" ht="15.75">
      <c r="A1712" s="207"/>
      <c r="B1712" s="208" t="s">
        <v>1573</v>
      </c>
      <c r="C1712" s="209" t="s">
        <v>379</v>
      </c>
      <c r="D1712" s="310"/>
      <c r="E1712" s="210">
        <v>830000</v>
      </c>
    </row>
    <row r="1713" spans="1:5" ht="15.75">
      <c r="A1713" s="207"/>
      <c r="B1713" s="208" t="s">
        <v>803</v>
      </c>
      <c r="C1713" s="209" t="s">
        <v>379</v>
      </c>
      <c r="D1713" s="310"/>
      <c r="E1713" s="210">
        <v>1170000</v>
      </c>
    </row>
    <row r="1714" spans="1:5" ht="21" customHeight="1">
      <c r="A1714" s="207"/>
      <c r="B1714" s="208" t="s">
        <v>1574</v>
      </c>
      <c r="C1714" s="209" t="s">
        <v>379</v>
      </c>
      <c r="D1714" s="310"/>
      <c r="E1714" s="210">
        <v>1602000</v>
      </c>
    </row>
    <row r="1715" spans="1:5" ht="15.75">
      <c r="A1715" s="207"/>
      <c r="B1715" s="208" t="s">
        <v>1575</v>
      </c>
      <c r="C1715" s="209" t="s">
        <v>379</v>
      </c>
      <c r="D1715" s="310"/>
      <c r="E1715" s="210">
        <v>2010000</v>
      </c>
    </row>
    <row r="1716" spans="1:5" ht="15.75">
      <c r="A1716" s="207"/>
      <c r="B1716" s="208" t="s">
        <v>1576</v>
      </c>
      <c r="C1716" s="209" t="s">
        <v>379</v>
      </c>
      <c r="D1716" s="310"/>
      <c r="E1716" s="210">
        <v>2495000</v>
      </c>
    </row>
    <row r="1717" spans="1:5" ht="15.75">
      <c r="A1717" s="207"/>
      <c r="B1717" s="208" t="s">
        <v>1577</v>
      </c>
      <c r="C1717" s="209" t="s">
        <v>379</v>
      </c>
      <c r="D1717" s="310"/>
      <c r="E1717" s="210">
        <v>3125000</v>
      </c>
    </row>
    <row r="1718" spans="1:5" ht="30">
      <c r="A1718" s="203" t="s">
        <v>380</v>
      </c>
      <c r="B1718" s="212" t="s">
        <v>1941</v>
      </c>
      <c r="C1718" s="211"/>
      <c r="D1718" s="310" t="s">
        <v>2558</v>
      </c>
      <c r="E1718" s="206"/>
    </row>
    <row r="1719" spans="1:5" ht="15.75">
      <c r="A1719" s="207"/>
      <c r="B1719" s="208" t="s">
        <v>1578</v>
      </c>
      <c r="C1719" s="209" t="s">
        <v>379</v>
      </c>
      <c r="D1719" s="310"/>
      <c r="E1719" s="210">
        <v>43000</v>
      </c>
    </row>
    <row r="1720" spans="1:5" ht="15.75">
      <c r="A1720" s="207"/>
      <c r="B1720" s="208" t="s">
        <v>1579</v>
      </c>
      <c r="C1720" s="209" t="s">
        <v>379</v>
      </c>
      <c r="D1720" s="310"/>
      <c r="E1720" s="210">
        <v>58500</v>
      </c>
    </row>
    <row r="1721" spans="1:5" ht="15.75">
      <c r="A1721" s="207"/>
      <c r="B1721" s="208" t="s">
        <v>1580</v>
      </c>
      <c r="C1721" s="209" t="s">
        <v>379</v>
      </c>
      <c r="D1721" s="310"/>
      <c r="E1721" s="210">
        <v>78000</v>
      </c>
    </row>
    <row r="1722" spans="1:5" ht="15.75">
      <c r="A1722" s="207"/>
      <c r="B1722" s="208" t="s">
        <v>1581</v>
      </c>
      <c r="C1722" s="209" t="s">
        <v>379</v>
      </c>
      <c r="D1722" s="310"/>
      <c r="E1722" s="210">
        <v>115000</v>
      </c>
    </row>
    <row r="1723" spans="1:5" ht="15.75">
      <c r="A1723" s="207"/>
      <c r="B1723" s="208" t="s">
        <v>1582</v>
      </c>
      <c r="C1723" s="209" t="s">
        <v>379</v>
      </c>
      <c r="D1723" s="310"/>
      <c r="E1723" s="210">
        <v>165000</v>
      </c>
    </row>
    <row r="1724" spans="1:5" ht="15.75">
      <c r="A1724" s="207"/>
      <c r="B1724" s="208" t="s">
        <v>1583</v>
      </c>
      <c r="C1724" s="209" t="s">
        <v>379</v>
      </c>
      <c r="D1724" s="310"/>
      <c r="E1724" s="210">
        <v>248000</v>
      </c>
    </row>
    <row r="1725" spans="1:5" ht="15.75">
      <c r="A1725" s="207"/>
      <c r="B1725" s="208" t="s">
        <v>1584</v>
      </c>
      <c r="C1725" s="209" t="s">
        <v>379</v>
      </c>
      <c r="D1725" s="310"/>
      <c r="E1725" s="210">
        <v>330000</v>
      </c>
    </row>
    <row r="1726" spans="1:5" ht="15.75">
      <c r="A1726" s="207"/>
      <c r="B1726" s="208" t="s">
        <v>1585</v>
      </c>
      <c r="C1726" s="209" t="s">
        <v>379</v>
      </c>
      <c r="D1726" s="310"/>
      <c r="E1726" s="210">
        <v>448000</v>
      </c>
    </row>
    <row r="1727" spans="1:5" ht="15.75">
      <c r="A1727" s="207"/>
      <c r="B1727" s="208" t="s">
        <v>804</v>
      </c>
      <c r="C1727" s="209" t="s">
        <v>379</v>
      </c>
      <c r="D1727" s="310"/>
      <c r="E1727" s="210">
        <v>635000</v>
      </c>
    </row>
    <row r="1728" spans="1:5" ht="15.75">
      <c r="A1728" s="207"/>
      <c r="B1728" s="208" t="s">
        <v>1586</v>
      </c>
      <c r="C1728" s="209" t="s">
        <v>379</v>
      </c>
      <c r="D1728" s="310"/>
      <c r="E1728" s="210">
        <v>885000</v>
      </c>
    </row>
    <row r="1729" spans="1:5" ht="15.75">
      <c r="A1729" s="207"/>
      <c r="B1729" s="208" t="s">
        <v>1587</v>
      </c>
      <c r="C1729" s="209" t="s">
        <v>379</v>
      </c>
      <c r="D1729" s="310"/>
      <c r="E1729" s="210">
        <v>1100000</v>
      </c>
    </row>
    <row r="1730" spans="1:5" ht="15.75">
      <c r="A1730" s="207"/>
      <c r="B1730" s="208" t="s">
        <v>1588</v>
      </c>
      <c r="C1730" s="209" t="s">
        <v>379</v>
      </c>
      <c r="D1730" s="310"/>
      <c r="E1730" s="210">
        <v>1360000</v>
      </c>
    </row>
    <row r="1731" spans="1:5" ht="30">
      <c r="A1731" s="203" t="s">
        <v>380</v>
      </c>
      <c r="B1731" s="212" t="s">
        <v>1942</v>
      </c>
      <c r="C1731" s="211"/>
      <c r="D1731" s="310" t="s">
        <v>2558</v>
      </c>
      <c r="E1731" s="206"/>
    </row>
    <row r="1732" spans="1:5" ht="15.75">
      <c r="A1732" s="207"/>
      <c r="B1732" s="208" t="s">
        <v>1589</v>
      </c>
      <c r="C1732" s="209" t="s">
        <v>379</v>
      </c>
      <c r="D1732" s="310"/>
      <c r="E1732" s="210">
        <v>92000</v>
      </c>
    </row>
    <row r="1733" spans="1:5" ht="15.75">
      <c r="A1733" s="207"/>
      <c r="B1733" s="208" t="s">
        <v>1590</v>
      </c>
      <c r="C1733" s="209" t="s">
        <v>379</v>
      </c>
      <c r="D1733" s="310"/>
      <c r="E1733" s="210">
        <v>125000</v>
      </c>
    </row>
    <row r="1734" spans="1:5" ht="15.75">
      <c r="A1734" s="207"/>
      <c r="B1734" s="208" t="s">
        <v>1591</v>
      </c>
      <c r="C1734" s="209" t="s">
        <v>379</v>
      </c>
      <c r="D1734" s="310"/>
      <c r="E1734" s="210">
        <v>185000</v>
      </c>
    </row>
    <row r="1735" spans="1:5" ht="15.75">
      <c r="A1735" s="207"/>
      <c r="B1735" s="208" t="s">
        <v>1592</v>
      </c>
      <c r="C1735" s="209" t="s">
        <v>379</v>
      </c>
      <c r="D1735" s="310"/>
      <c r="E1735" s="210">
        <v>280000</v>
      </c>
    </row>
    <row r="1736" spans="1:5" ht="15.75">
      <c r="A1736" s="207"/>
      <c r="B1736" s="208" t="s">
        <v>1593</v>
      </c>
      <c r="C1736" s="209" t="s">
        <v>379</v>
      </c>
      <c r="D1736" s="310"/>
      <c r="E1736" s="210">
        <v>425000</v>
      </c>
    </row>
    <row r="1737" spans="1:5" ht="15.75">
      <c r="A1737" s="207"/>
      <c r="B1737" s="208" t="s">
        <v>1594</v>
      </c>
      <c r="C1737" s="209" t="s">
        <v>379</v>
      </c>
      <c r="D1737" s="310"/>
      <c r="E1737" s="210">
        <v>550000</v>
      </c>
    </row>
    <row r="1738" spans="1:5" ht="15.75">
      <c r="A1738" s="207"/>
      <c r="B1738" s="208" t="s">
        <v>1595</v>
      </c>
      <c r="C1738" s="209" t="s">
        <v>379</v>
      </c>
      <c r="D1738" s="310"/>
      <c r="E1738" s="210">
        <v>765000</v>
      </c>
    </row>
    <row r="1739" spans="1:5" ht="15.75">
      <c r="A1739" s="207"/>
      <c r="B1739" s="208" t="s">
        <v>805</v>
      </c>
      <c r="C1739" s="209" t="s">
        <v>379</v>
      </c>
      <c r="D1739" s="310"/>
      <c r="E1739" s="210">
        <v>1080000</v>
      </c>
    </row>
    <row r="1740" spans="1:5" ht="15.75">
      <c r="A1740" s="207"/>
      <c r="B1740" s="208" t="s">
        <v>1596</v>
      </c>
      <c r="C1740" s="209" t="s">
        <v>379</v>
      </c>
      <c r="D1740" s="310"/>
      <c r="E1740" s="210">
        <v>1460000</v>
      </c>
    </row>
    <row r="1741" spans="1:5" ht="15.75">
      <c r="A1741" s="207"/>
      <c r="B1741" s="208" t="s">
        <v>1597</v>
      </c>
      <c r="C1741" s="209" t="s">
        <v>379</v>
      </c>
      <c r="D1741" s="310"/>
      <c r="E1741" s="210">
        <v>1880000</v>
      </c>
    </row>
    <row r="1742" spans="1:5" ht="15.75">
      <c r="A1742" s="207"/>
      <c r="B1742" s="208" t="s">
        <v>1598</v>
      </c>
      <c r="C1742" s="209" t="s">
        <v>379</v>
      </c>
      <c r="D1742" s="310"/>
      <c r="E1742" s="210">
        <v>2350000</v>
      </c>
    </row>
    <row r="1743" spans="1:5" ht="15.75">
      <c r="A1743" s="207"/>
      <c r="B1743" s="208" t="s">
        <v>1599</v>
      </c>
      <c r="C1743" s="209" t="s">
        <v>379</v>
      </c>
      <c r="D1743" s="310"/>
      <c r="E1743" s="210">
        <v>2910000</v>
      </c>
    </row>
    <row r="1744" spans="1:5" ht="30">
      <c r="A1744" s="203" t="s">
        <v>380</v>
      </c>
      <c r="B1744" s="212" t="s">
        <v>1943</v>
      </c>
      <c r="C1744" s="211"/>
      <c r="D1744" s="310" t="s">
        <v>2558</v>
      </c>
      <c r="E1744" s="206"/>
    </row>
    <row r="1745" spans="1:5" ht="15.75">
      <c r="A1745" s="207"/>
      <c r="B1745" s="208" t="s">
        <v>1600</v>
      </c>
      <c r="C1745" s="209" t="s">
        <v>379</v>
      </c>
      <c r="D1745" s="310"/>
      <c r="E1745" s="210">
        <v>70000</v>
      </c>
    </row>
    <row r="1746" spans="1:5" ht="15.75">
      <c r="A1746" s="207"/>
      <c r="B1746" s="208" t="s">
        <v>1601</v>
      </c>
      <c r="C1746" s="209" t="s">
        <v>379</v>
      </c>
      <c r="D1746" s="310"/>
      <c r="E1746" s="210">
        <v>98000</v>
      </c>
    </row>
    <row r="1747" spans="1:5" ht="15.75">
      <c r="A1747" s="207"/>
      <c r="B1747" s="208" t="s">
        <v>1602</v>
      </c>
      <c r="C1747" s="209" t="s">
        <v>379</v>
      </c>
      <c r="D1747" s="310"/>
      <c r="E1747" s="210">
        <v>136000</v>
      </c>
    </row>
    <row r="1748" spans="1:5" ht="15.75">
      <c r="A1748" s="207"/>
      <c r="B1748" s="208" t="s">
        <v>1603</v>
      </c>
      <c r="C1748" s="209" t="s">
        <v>379</v>
      </c>
      <c r="D1748" s="310"/>
      <c r="E1748" s="210">
        <v>203000</v>
      </c>
    </row>
    <row r="1749" spans="1:5" ht="15.75">
      <c r="A1749" s="207"/>
      <c r="B1749" s="208" t="s">
        <v>1604</v>
      </c>
      <c r="C1749" s="209" t="s">
        <v>379</v>
      </c>
      <c r="D1749" s="310"/>
      <c r="E1749" s="210">
        <v>305000</v>
      </c>
    </row>
    <row r="1750" spans="1:5" ht="15.75">
      <c r="A1750" s="207"/>
      <c r="B1750" s="208" t="s">
        <v>1605</v>
      </c>
      <c r="C1750" s="209" t="s">
        <v>379</v>
      </c>
      <c r="D1750" s="310"/>
      <c r="E1750" s="210">
        <v>460000</v>
      </c>
    </row>
    <row r="1751" spans="1:5" ht="15.75">
      <c r="A1751" s="207"/>
      <c r="B1751" s="208" t="s">
        <v>1606</v>
      </c>
      <c r="C1751" s="209" t="s">
        <v>379</v>
      </c>
      <c r="D1751" s="310"/>
      <c r="E1751" s="210">
        <v>625000</v>
      </c>
    </row>
    <row r="1752" spans="1:5" ht="15.75">
      <c r="A1752" s="207"/>
      <c r="B1752" s="208" t="s">
        <v>1607</v>
      </c>
      <c r="C1752" s="209" t="s">
        <v>379</v>
      </c>
      <c r="D1752" s="310"/>
      <c r="E1752" s="210">
        <v>850000</v>
      </c>
    </row>
    <row r="1753" spans="1:5" ht="15.75">
      <c r="A1753" s="207"/>
      <c r="B1753" s="208" t="s">
        <v>1608</v>
      </c>
      <c r="C1753" s="209" t="s">
        <v>379</v>
      </c>
      <c r="D1753" s="310"/>
      <c r="E1753" s="210">
        <v>1220000</v>
      </c>
    </row>
    <row r="1754" spans="1:5" ht="15.75">
      <c r="A1754" s="207"/>
      <c r="B1754" s="208" t="s">
        <v>1609</v>
      </c>
      <c r="C1754" s="209" t="s">
        <v>379</v>
      </c>
      <c r="D1754" s="310"/>
      <c r="E1754" s="210">
        <v>1680000</v>
      </c>
    </row>
    <row r="1755" spans="1:5" ht="15.75">
      <c r="A1755" s="207"/>
      <c r="B1755" s="208" t="s">
        <v>1610</v>
      </c>
      <c r="C1755" s="209" t="s">
        <v>379</v>
      </c>
      <c r="D1755" s="310"/>
      <c r="E1755" s="210">
        <v>2120000</v>
      </c>
    </row>
    <row r="1756" spans="1:5" ht="15.75">
      <c r="A1756" s="207"/>
      <c r="B1756" s="208" t="s">
        <v>1611</v>
      </c>
      <c r="C1756" s="209" t="s">
        <v>379</v>
      </c>
      <c r="D1756" s="310"/>
      <c r="E1756" s="210">
        <v>2605000</v>
      </c>
    </row>
    <row r="1757" spans="1:5" ht="15.75">
      <c r="A1757" s="207"/>
      <c r="B1757" s="208" t="s">
        <v>1612</v>
      </c>
      <c r="C1757" s="209" t="s">
        <v>379</v>
      </c>
      <c r="D1757" s="310"/>
      <c r="E1757" s="210">
        <v>3200000</v>
      </c>
    </row>
    <row r="1758" spans="1:5" ht="21" customHeight="1">
      <c r="A1758" s="203" t="s">
        <v>380</v>
      </c>
      <c r="B1758" s="214" t="s">
        <v>1944</v>
      </c>
      <c r="C1758" s="215"/>
      <c r="D1758" s="310" t="s">
        <v>2559</v>
      </c>
      <c r="E1758" s="215"/>
    </row>
    <row r="1759" spans="1:5" ht="15.75">
      <c r="A1759" s="216"/>
      <c r="B1759" s="217" t="s">
        <v>1613</v>
      </c>
      <c r="C1759" s="218" t="s">
        <v>379</v>
      </c>
      <c r="D1759" s="310"/>
      <c r="E1759" s="219">
        <v>9800</v>
      </c>
    </row>
    <row r="1760" spans="1:5" ht="15.75">
      <c r="A1760" s="216"/>
      <c r="B1760" s="217" t="s">
        <v>812</v>
      </c>
      <c r="C1760" s="218" t="s">
        <v>379</v>
      </c>
      <c r="D1760" s="310"/>
      <c r="E1760" s="219">
        <v>14700</v>
      </c>
    </row>
    <row r="1761" spans="1:5" ht="15.75">
      <c r="A1761" s="216"/>
      <c r="B1761" s="217" t="s">
        <v>1614</v>
      </c>
      <c r="C1761" s="218" t="s">
        <v>379</v>
      </c>
      <c r="D1761" s="310"/>
      <c r="E1761" s="219">
        <v>19200</v>
      </c>
    </row>
    <row r="1762" spans="1:5" ht="15.75">
      <c r="A1762" s="216"/>
      <c r="B1762" s="217" t="s">
        <v>1615</v>
      </c>
      <c r="C1762" s="218" t="s">
        <v>379</v>
      </c>
      <c r="D1762" s="310"/>
      <c r="E1762" s="219">
        <v>26600</v>
      </c>
    </row>
    <row r="1763" spans="1:5" ht="15.75">
      <c r="A1763" s="216"/>
      <c r="B1763" s="217" t="s">
        <v>813</v>
      </c>
      <c r="C1763" s="218" t="s">
        <v>379</v>
      </c>
      <c r="D1763" s="310"/>
      <c r="E1763" s="219">
        <v>37400</v>
      </c>
    </row>
    <row r="1764" spans="1:5" ht="15.75">
      <c r="A1764" s="216"/>
      <c r="B1764" s="217" t="s">
        <v>1616</v>
      </c>
      <c r="C1764" s="218" t="s">
        <v>379</v>
      </c>
      <c r="D1764" s="310"/>
      <c r="E1764" s="219">
        <v>50300</v>
      </c>
    </row>
    <row r="1765" spans="1:5" ht="15.75">
      <c r="A1765" s="216"/>
      <c r="B1765" s="217" t="s">
        <v>1617</v>
      </c>
      <c r="C1765" s="218" t="s">
        <v>379</v>
      </c>
      <c r="D1765" s="310"/>
      <c r="E1765" s="219">
        <v>62600</v>
      </c>
    </row>
    <row r="1766" spans="1:5" ht="15.75">
      <c r="A1766" s="216"/>
      <c r="B1766" s="217" t="s">
        <v>1618</v>
      </c>
      <c r="C1766" s="218" t="s">
        <v>379</v>
      </c>
      <c r="D1766" s="310"/>
      <c r="E1766" s="219">
        <v>78300</v>
      </c>
    </row>
    <row r="1767" spans="1:5" ht="15.75">
      <c r="A1767" s="216"/>
      <c r="B1767" s="217" t="s">
        <v>1619</v>
      </c>
      <c r="C1767" s="218" t="s">
        <v>379</v>
      </c>
      <c r="D1767" s="310"/>
      <c r="E1767" s="219">
        <v>97500</v>
      </c>
    </row>
    <row r="1768" spans="1:5" ht="30">
      <c r="A1768" s="203" t="s">
        <v>380</v>
      </c>
      <c r="B1768" s="220" t="s">
        <v>1945</v>
      </c>
      <c r="C1768" s="215"/>
      <c r="D1768" s="423" t="s">
        <v>2561</v>
      </c>
      <c r="E1768" s="423"/>
    </row>
    <row r="1769" spans="1:5" ht="15.75">
      <c r="A1769" s="216"/>
      <c r="B1769" s="217" t="s">
        <v>815</v>
      </c>
      <c r="C1769" s="218" t="s">
        <v>379</v>
      </c>
      <c r="D1769" s="310"/>
      <c r="E1769" s="219">
        <v>21700</v>
      </c>
    </row>
    <row r="1770" spans="1:5" ht="15.75">
      <c r="A1770" s="216"/>
      <c r="B1770" s="217" t="s">
        <v>1620</v>
      </c>
      <c r="C1770" s="218" t="s">
        <v>379</v>
      </c>
      <c r="D1770" s="310"/>
      <c r="E1770" s="219">
        <v>30200</v>
      </c>
    </row>
    <row r="1771" spans="1:5" ht="15.75">
      <c r="A1771" s="216"/>
      <c r="B1771" s="217" t="s">
        <v>1621</v>
      </c>
      <c r="C1771" s="218" t="s">
        <v>379</v>
      </c>
      <c r="D1771" s="310"/>
      <c r="E1771" s="219">
        <v>39000</v>
      </c>
    </row>
    <row r="1772" spans="1:5" ht="15.75">
      <c r="A1772" s="216"/>
      <c r="B1772" s="217" t="s">
        <v>1622</v>
      </c>
      <c r="C1772" s="218" t="s">
        <v>379</v>
      </c>
      <c r="D1772" s="310"/>
      <c r="E1772" s="219">
        <v>53300</v>
      </c>
    </row>
    <row r="1773" spans="1:5" ht="15.75">
      <c r="A1773" s="216"/>
      <c r="B1773" s="217" t="s">
        <v>816</v>
      </c>
      <c r="C1773" s="218" t="s">
        <v>379</v>
      </c>
      <c r="D1773" s="310"/>
      <c r="E1773" s="219">
        <v>73200</v>
      </c>
    </row>
    <row r="1774" spans="1:5" ht="15.75">
      <c r="A1774" s="216"/>
      <c r="B1774" s="217" t="s">
        <v>1623</v>
      </c>
      <c r="C1774" s="218" t="s">
        <v>379</v>
      </c>
      <c r="D1774" s="310"/>
      <c r="E1774" s="219">
        <v>100300</v>
      </c>
    </row>
    <row r="1775" spans="1:5" ht="16.5" customHeight="1">
      <c r="A1775" s="216"/>
      <c r="B1775" s="217" t="s">
        <v>1624</v>
      </c>
      <c r="C1775" s="218" t="s">
        <v>379</v>
      </c>
      <c r="D1775" s="310"/>
      <c r="E1775" s="219">
        <v>122700</v>
      </c>
    </row>
    <row r="1776" spans="1:5" ht="15.75">
      <c r="A1776" s="216"/>
      <c r="B1776" s="217" t="s">
        <v>1625</v>
      </c>
      <c r="C1776" s="218" t="s">
        <v>379</v>
      </c>
      <c r="D1776" s="310"/>
      <c r="E1776" s="219">
        <v>152500</v>
      </c>
    </row>
    <row r="1777" spans="1:5" ht="15.75">
      <c r="A1777" s="216"/>
      <c r="B1777" s="217" t="s">
        <v>1626</v>
      </c>
      <c r="C1777" s="218" t="s">
        <v>379</v>
      </c>
      <c r="D1777" s="310"/>
      <c r="E1777" s="219">
        <v>190500</v>
      </c>
    </row>
    <row r="1778" spans="1:5" ht="30">
      <c r="A1778" s="203" t="s">
        <v>380</v>
      </c>
      <c r="B1778" s="221" t="s">
        <v>1946</v>
      </c>
      <c r="C1778" s="215"/>
      <c r="D1778" s="423" t="s">
        <v>2560</v>
      </c>
      <c r="E1778" s="423"/>
    </row>
    <row r="1779" spans="1:5" ht="15.75">
      <c r="A1779" s="216"/>
      <c r="B1779" s="217" t="s">
        <v>817</v>
      </c>
      <c r="C1779" s="218" t="s">
        <v>379</v>
      </c>
      <c r="D1779" s="310"/>
      <c r="E1779" s="219">
        <v>41600</v>
      </c>
    </row>
    <row r="1780" spans="1:5" ht="15.75">
      <c r="A1780" s="216"/>
      <c r="B1780" s="217" t="s">
        <v>1627</v>
      </c>
      <c r="C1780" s="218" t="s">
        <v>379</v>
      </c>
      <c r="D1780" s="310"/>
      <c r="E1780" s="219">
        <v>59200</v>
      </c>
    </row>
    <row r="1781" spans="1:5" ht="15.75">
      <c r="A1781" s="216"/>
      <c r="B1781" s="217" t="s">
        <v>1628</v>
      </c>
      <c r="C1781" s="218" t="s">
        <v>379</v>
      </c>
      <c r="D1781" s="310"/>
      <c r="E1781" s="219">
        <v>75600</v>
      </c>
    </row>
    <row r="1782" spans="1:5" ht="15.75">
      <c r="A1782" s="216"/>
      <c r="B1782" s="217" t="s">
        <v>1629</v>
      </c>
      <c r="C1782" s="218" t="s">
        <v>379</v>
      </c>
      <c r="D1782" s="310"/>
      <c r="E1782" s="219">
        <v>104200</v>
      </c>
    </row>
    <row r="1783" spans="1:5" ht="15.75">
      <c r="A1783" s="216"/>
      <c r="B1783" s="217" t="s">
        <v>818</v>
      </c>
      <c r="C1783" s="218" t="s">
        <v>379</v>
      </c>
      <c r="D1783" s="310"/>
      <c r="E1783" s="219">
        <v>144900</v>
      </c>
    </row>
    <row r="1784" spans="1:5" ht="15.75">
      <c r="A1784" s="216"/>
      <c r="B1784" s="217" t="s">
        <v>1630</v>
      </c>
      <c r="C1784" s="218" t="s">
        <v>379</v>
      </c>
      <c r="D1784" s="310"/>
      <c r="E1784" s="219">
        <v>197200</v>
      </c>
    </row>
    <row r="1785" spans="1:5" ht="16.5" customHeight="1">
      <c r="A1785" s="216"/>
      <c r="B1785" s="217" t="s">
        <v>1631</v>
      </c>
      <c r="C1785" s="218" t="s">
        <v>379</v>
      </c>
      <c r="D1785" s="310"/>
      <c r="E1785" s="219">
        <v>244100</v>
      </c>
    </row>
    <row r="1786" spans="1:5" ht="15.75">
      <c r="A1786" s="216"/>
      <c r="B1786" s="217" t="s">
        <v>1632</v>
      </c>
      <c r="C1786" s="218" t="s">
        <v>379</v>
      </c>
      <c r="D1786" s="310"/>
      <c r="E1786" s="219">
        <v>305500</v>
      </c>
    </row>
    <row r="1787" spans="1:5" ht="15.75">
      <c r="A1787" s="216"/>
      <c r="B1787" s="217" t="s">
        <v>1633</v>
      </c>
      <c r="C1787" s="218" t="s">
        <v>379</v>
      </c>
      <c r="D1787" s="310"/>
      <c r="E1787" s="219">
        <v>379500</v>
      </c>
    </row>
    <row r="1788" spans="1:5" ht="15.75">
      <c r="A1788" s="203" t="s">
        <v>380</v>
      </c>
      <c r="B1788" s="222" t="s">
        <v>1947</v>
      </c>
      <c r="C1788" s="215"/>
      <c r="D1788" s="423" t="s">
        <v>2562</v>
      </c>
      <c r="E1788" s="423"/>
    </row>
    <row r="1789" spans="1:5" ht="15.75">
      <c r="A1789" s="216"/>
      <c r="B1789" s="217" t="s">
        <v>1634</v>
      </c>
      <c r="C1789" s="218" t="s">
        <v>595</v>
      </c>
      <c r="D1789" s="310"/>
      <c r="E1789" s="219">
        <v>133500</v>
      </c>
    </row>
    <row r="1790" spans="1:5" ht="15.75">
      <c r="A1790" s="216"/>
      <c r="B1790" s="217" t="s">
        <v>1635</v>
      </c>
      <c r="C1790" s="218" t="s">
        <v>595</v>
      </c>
      <c r="D1790" s="310"/>
      <c r="E1790" s="219">
        <v>133000</v>
      </c>
    </row>
    <row r="1791" spans="1:5" ht="15.75">
      <c r="A1791" s="216"/>
      <c r="B1791" s="217" t="s">
        <v>1636</v>
      </c>
      <c r="C1791" s="218" t="s">
        <v>595</v>
      </c>
      <c r="D1791" s="310"/>
      <c r="E1791" s="219">
        <v>132600</v>
      </c>
    </row>
    <row r="1792" spans="1:5" ht="15.75">
      <c r="A1792" s="216"/>
      <c r="B1792" s="217" t="s">
        <v>1637</v>
      </c>
      <c r="C1792" s="218" t="s">
        <v>595</v>
      </c>
      <c r="D1792" s="310"/>
      <c r="E1792" s="219">
        <v>139900</v>
      </c>
    </row>
    <row r="1793" spans="1:5" ht="15.75">
      <c r="A1793" s="216"/>
      <c r="B1793" s="217" t="s">
        <v>1638</v>
      </c>
      <c r="C1793" s="218" t="s">
        <v>595</v>
      </c>
      <c r="D1793" s="310"/>
      <c r="E1793" s="219">
        <v>143300</v>
      </c>
    </row>
    <row r="1794" spans="1:5" ht="15.75">
      <c r="A1794" s="216"/>
      <c r="B1794" s="217" t="s">
        <v>1639</v>
      </c>
      <c r="C1794" s="218" t="s">
        <v>595</v>
      </c>
      <c r="D1794" s="310"/>
      <c r="E1794" s="219">
        <v>138400</v>
      </c>
    </row>
    <row r="1795" spans="1:5" ht="21" customHeight="1">
      <c r="A1795" s="216"/>
      <c r="B1795" s="217" t="s">
        <v>1640</v>
      </c>
      <c r="C1795" s="218" t="s">
        <v>595</v>
      </c>
      <c r="D1795" s="310"/>
      <c r="E1795" s="219">
        <v>141500</v>
      </c>
    </row>
    <row r="1796" spans="1:5" ht="15.75">
      <c r="A1796" s="216"/>
      <c r="B1796" s="217" t="s">
        <v>1641</v>
      </c>
      <c r="C1796" s="218" t="s">
        <v>595</v>
      </c>
      <c r="D1796" s="310"/>
      <c r="E1796" s="219">
        <v>138000</v>
      </c>
    </row>
    <row r="1797" spans="1:5" ht="15.75">
      <c r="A1797" s="131" t="s">
        <v>1269</v>
      </c>
      <c r="B1797" s="145" t="s">
        <v>1969</v>
      </c>
      <c r="C1797" s="192"/>
      <c r="D1797" s="310"/>
      <c r="E1797" s="194"/>
    </row>
    <row r="1798" spans="1:5" ht="15.75">
      <c r="A1798" s="126" t="s">
        <v>380</v>
      </c>
      <c r="B1798" s="127" t="s">
        <v>1261</v>
      </c>
      <c r="C1798" s="181"/>
      <c r="D1798" s="310"/>
      <c r="E1798" s="188"/>
    </row>
    <row r="1799" spans="1:5" ht="15.75">
      <c r="A1799" s="126"/>
      <c r="B1799" s="130" t="s">
        <v>616</v>
      </c>
      <c r="C1799" s="181" t="s">
        <v>393</v>
      </c>
      <c r="D1799" s="310"/>
      <c r="E1799" s="188">
        <v>45800</v>
      </c>
    </row>
    <row r="1800" spans="1:5" ht="15.75">
      <c r="A1800" s="126"/>
      <c r="B1800" s="130" t="s">
        <v>617</v>
      </c>
      <c r="C1800" s="181" t="s">
        <v>393</v>
      </c>
      <c r="D1800" s="310"/>
      <c r="E1800" s="188">
        <v>51000</v>
      </c>
    </row>
    <row r="1801" spans="1:5" ht="15.75">
      <c r="A1801" s="126"/>
      <c r="B1801" s="130" t="s">
        <v>618</v>
      </c>
      <c r="C1801" s="181" t="s">
        <v>393</v>
      </c>
      <c r="D1801" s="310"/>
      <c r="E1801" s="188">
        <v>64500</v>
      </c>
    </row>
    <row r="1802" spans="1:5" ht="15.75">
      <c r="A1802" s="126"/>
      <c r="B1802" s="130" t="s">
        <v>619</v>
      </c>
      <c r="C1802" s="181" t="s">
        <v>393</v>
      </c>
      <c r="D1802" s="310"/>
      <c r="E1802" s="188">
        <v>98000</v>
      </c>
    </row>
    <row r="1803" spans="1:5" ht="15.75">
      <c r="A1803" s="126"/>
      <c r="B1803" s="130" t="s">
        <v>620</v>
      </c>
      <c r="C1803" s="181" t="s">
        <v>393</v>
      </c>
      <c r="D1803" s="310"/>
      <c r="E1803" s="188">
        <v>138000</v>
      </c>
    </row>
    <row r="1804" spans="1:5" ht="18" customHeight="1">
      <c r="A1804" s="126"/>
      <c r="B1804" s="130" t="s">
        <v>621</v>
      </c>
      <c r="C1804" s="181" t="s">
        <v>393</v>
      </c>
      <c r="D1804" s="310"/>
      <c r="E1804" s="188">
        <v>98000</v>
      </c>
    </row>
    <row r="1805" spans="1:5" ht="15.75">
      <c r="A1805" s="126"/>
      <c r="B1805" s="130" t="s">
        <v>622</v>
      </c>
      <c r="C1805" s="181" t="s">
        <v>393</v>
      </c>
      <c r="D1805" s="310"/>
      <c r="E1805" s="188">
        <v>45000</v>
      </c>
    </row>
    <row r="1806" spans="1:5" ht="15.75">
      <c r="A1806" s="126"/>
      <c r="B1806" s="130" t="s">
        <v>620</v>
      </c>
      <c r="C1806" s="181" t="s">
        <v>393</v>
      </c>
      <c r="D1806" s="310"/>
      <c r="E1806" s="188">
        <v>295000</v>
      </c>
    </row>
    <row r="1807" spans="1:5" ht="15.75">
      <c r="A1807" s="126" t="s">
        <v>380</v>
      </c>
      <c r="B1807" s="127" t="s">
        <v>153</v>
      </c>
      <c r="C1807" s="181"/>
      <c r="D1807" s="310"/>
      <c r="E1807" s="188"/>
    </row>
    <row r="1808" spans="1:5" ht="15.75">
      <c r="A1808" s="126"/>
      <c r="B1808" s="130" t="s">
        <v>154</v>
      </c>
      <c r="C1808" s="181" t="s">
        <v>393</v>
      </c>
      <c r="D1808" s="310"/>
      <c r="E1808" s="188">
        <f>145000/1.1</f>
        <v>131818.1818181818</v>
      </c>
    </row>
    <row r="1809" spans="1:5" ht="15.75">
      <c r="A1809" s="126"/>
      <c r="B1809" s="130" t="s">
        <v>155</v>
      </c>
      <c r="C1809" s="181" t="s">
        <v>393</v>
      </c>
      <c r="D1809" s="310"/>
      <c r="E1809" s="188">
        <f>205000/1.1</f>
        <v>186363.63636363635</v>
      </c>
    </row>
    <row r="1810" spans="1:5" ht="15.75">
      <c r="A1810" s="126"/>
      <c r="B1810" s="130" t="s">
        <v>156</v>
      </c>
      <c r="C1810" s="181" t="s">
        <v>393</v>
      </c>
      <c r="D1810" s="310"/>
      <c r="E1810" s="188">
        <f>300000/1.1</f>
        <v>272727.2727272727</v>
      </c>
    </row>
    <row r="1811" spans="1:5" ht="15.75">
      <c r="A1811" s="126"/>
      <c r="B1811" s="130" t="s">
        <v>157</v>
      </c>
      <c r="C1811" s="181" t="s">
        <v>393</v>
      </c>
      <c r="D1811" s="310"/>
      <c r="E1811" s="188">
        <f>380000/1.1</f>
        <v>345454.5454545454</v>
      </c>
    </row>
    <row r="1812" spans="1:5" ht="15.75">
      <c r="A1812" s="126"/>
      <c r="B1812" s="130" t="s">
        <v>158</v>
      </c>
      <c r="C1812" s="181" t="s">
        <v>393</v>
      </c>
      <c r="D1812" s="310"/>
      <c r="E1812" s="188">
        <f>655000/1.1</f>
        <v>595454.5454545454</v>
      </c>
    </row>
    <row r="1813" spans="1:5" ht="15.75">
      <c r="A1813" s="126"/>
      <c r="B1813" s="130" t="s">
        <v>159</v>
      </c>
      <c r="C1813" s="181" t="s">
        <v>393</v>
      </c>
      <c r="D1813" s="310"/>
      <c r="E1813" s="188">
        <f>880000/1.1</f>
        <v>799999.9999999999</v>
      </c>
    </row>
    <row r="1814" spans="1:5" ht="15.75">
      <c r="A1814" s="126"/>
      <c r="B1814" s="130" t="s">
        <v>160</v>
      </c>
      <c r="C1814" s="181" t="s">
        <v>393</v>
      </c>
      <c r="D1814" s="310"/>
      <c r="E1814" s="188">
        <f>980000/1.1</f>
        <v>890909.0909090908</v>
      </c>
    </row>
    <row r="1815" spans="1:5" ht="15.75">
      <c r="A1815" s="126" t="s">
        <v>380</v>
      </c>
      <c r="B1815" s="127" t="s">
        <v>623</v>
      </c>
      <c r="C1815" s="181"/>
      <c r="D1815" s="310"/>
      <c r="E1815" s="188"/>
    </row>
    <row r="1816" spans="1:5" ht="15.75">
      <c r="A1816" s="126"/>
      <c r="B1816" s="130" t="s">
        <v>624</v>
      </c>
      <c r="C1816" s="181" t="s">
        <v>393</v>
      </c>
      <c r="D1816" s="310"/>
      <c r="E1816" s="188">
        <v>9091</v>
      </c>
    </row>
    <row r="1817" spans="1:5" ht="15.75">
      <c r="A1817" s="126"/>
      <c r="B1817" s="130" t="s">
        <v>625</v>
      </c>
      <c r="C1817" s="181" t="s">
        <v>393</v>
      </c>
      <c r="D1817" s="310"/>
      <c r="E1817" s="188">
        <v>13636</v>
      </c>
    </row>
    <row r="1818" spans="1:5" ht="15.75">
      <c r="A1818" s="126"/>
      <c r="B1818" s="130" t="s">
        <v>626</v>
      </c>
      <c r="C1818" s="181" t="s">
        <v>393</v>
      </c>
      <c r="D1818" s="310"/>
      <c r="E1818" s="188">
        <v>18182</v>
      </c>
    </row>
    <row r="1819" spans="1:5" ht="15.75">
      <c r="A1819" s="126"/>
      <c r="B1819" s="130" t="s">
        <v>627</v>
      </c>
      <c r="C1819" s="181" t="s">
        <v>393</v>
      </c>
      <c r="D1819" s="310"/>
      <c r="E1819" s="188">
        <v>24545</v>
      </c>
    </row>
    <row r="1820" spans="1:5" ht="15.75">
      <c r="A1820" s="126" t="s">
        <v>380</v>
      </c>
      <c r="B1820" s="127" t="s">
        <v>59</v>
      </c>
      <c r="C1820" s="181"/>
      <c r="D1820" s="310"/>
      <c r="E1820" s="188"/>
    </row>
    <row r="1821" spans="1:5" ht="15.75">
      <c r="A1821" s="126"/>
      <c r="B1821" s="130" t="s">
        <v>628</v>
      </c>
      <c r="C1821" s="181" t="s">
        <v>393</v>
      </c>
      <c r="D1821" s="310"/>
      <c r="E1821" s="188">
        <v>18182</v>
      </c>
    </row>
    <row r="1822" spans="1:5" ht="15.75">
      <c r="A1822" s="126"/>
      <c r="B1822" s="130" t="s">
        <v>629</v>
      </c>
      <c r="C1822" s="181" t="s">
        <v>393</v>
      </c>
      <c r="D1822" s="310"/>
      <c r="E1822" s="188">
        <v>20909</v>
      </c>
    </row>
    <row r="1823" spans="1:5" ht="15.75">
      <c r="A1823" s="126" t="s">
        <v>380</v>
      </c>
      <c r="B1823" s="127" t="s">
        <v>630</v>
      </c>
      <c r="C1823" s="181"/>
      <c r="D1823" s="310"/>
      <c r="E1823" s="188"/>
    </row>
    <row r="1824" spans="1:5" ht="15.75">
      <c r="A1824" s="126"/>
      <c r="B1824" s="130" t="s">
        <v>631</v>
      </c>
      <c r="C1824" s="181" t="s">
        <v>393</v>
      </c>
      <c r="D1824" s="310"/>
      <c r="E1824" s="188">
        <v>18182</v>
      </c>
    </row>
    <row r="1825" spans="1:5" ht="15.75">
      <c r="A1825" s="126"/>
      <c r="B1825" s="130" t="s">
        <v>632</v>
      </c>
      <c r="C1825" s="181" t="s">
        <v>393</v>
      </c>
      <c r="D1825" s="310"/>
      <c r="E1825" s="188">
        <v>22727</v>
      </c>
    </row>
    <row r="1826" spans="1:5" ht="15.75">
      <c r="A1826" s="139" t="s">
        <v>380</v>
      </c>
      <c r="B1826" s="127" t="s">
        <v>665</v>
      </c>
      <c r="C1826" s="181"/>
      <c r="D1826" s="310"/>
      <c r="E1826" s="134"/>
    </row>
    <row r="1827" spans="1:5" ht="15.75">
      <c r="A1827" s="126"/>
      <c r="B1827" s="130" t="s">
        <v>639</v>
      </c>
      <c r="C1827" s="181" t="s">
        <v>393</v>
      </c>
      <c r="D1827" s="310"/>
      <c r="E1827" s="134">
        <v>220000</v>
      </c>
    </row>
    <row r="1828" spans="1:5" ht="15.75">
      <c r="A1828" s="126"/>
      <c r="B1828" s="130" t="s">
        <v>640</v>
      </c>
      <c r="C1828" s="181" t="s">
        <v>393</v>
      </c>
      <c r="D1828" s="310"/>
      <c r="E1828" s="134">
        <v>242000</v>
      </c>
    </row>
    <row r="1829" spans="1:5" ht="15.75">
      <c r="A1829" s="126"/>
      <c r="B1829" s="130" t="s">
        <v>641</v>
      </c>
      <c r="C1829" s="181" t="s">
        <v>393</v>
      </c>
      <c r="D1829" s="310"/>
      <c r="E1829" s="134">
        <v>259091</v>
      </c>
    </row>
    <row r="1830" spans="1:5" ht="15.75">
      <c r="A1830" s="126"/>
      <c r="B1830" s="130" t="s">
        <v>642</v>
      </c>
      <c r="C1830" s="181" t="s">
        <v>393</v>
      </c>
      <c r="D1830" s="310"/>
      <c r="E1830" s="134">
        <v>265000</v>
      </c>
    </row>
    <row r="1831" spans="1:5" ht="15.75">
      <c r="A1831" s="126"/>
      <c r="B1831" s="130" t="s">
        <v>643</v>
      </c>
      <c r="C1831" s="181" t="s">
        <v>393</v>
      </c>
      <c r="D1831" s="310"/>
      <c r="E1831" s="134">
        <v>253000</v>
      </c>
    </row>
    <row r="1832" spans="1:5" ht="15.75">
      <c r="A1832" s="126"/>
      <c r="B1832" s="130" t="s">
        <v>644</v>
      </c>
      <c r="C1832" s="181" t="s">
        <v>393</v>
      </c>
      <c r="D1832" s="310"/>
      <c r="E1832" s="134">
        <v>280000</v>
      </c>
    </row>
    <row r="1833" spans="1:5" ht="15.75">
      <c r="A1833" s="126"/>
      <c r="B1833" s="130" t="s">
        <v>645</v>
      </c>
      <c r="C1833" s="181" t="s">
        <v>393</v>
      </c>
      <c r="D1833" s="310"/>
      <c r="E1833" s="134">
        <v>165000</v>
      </c>
    </row>
    <row r="1834" spans="1:5" ht="15.75">
      <c r="A1834" s="126"/>
      <c r="B1834" s="130" t="s">
        <v>646</v>
      </c>
      <c r="C1834" s="181" t="s">
        <v>393</v>
      </c>
      <c r="D1834" s="310"/>
      <c r="E1834" s="134">
        <v>165000</v>
      </c>
    </row>
    <row r="1835" spans="1:5" ht="15.75">
      <c r="A1835" s="126"/>
      <c r="B1835" s="130" t="s">
        <v>647</v>
      </c>
      <c r="C1835" s="181" t="s">
        <v>393</v>
      </c>
      <c r="D1835" s="310"/>
      <c r="E1835" s="134">
        <v>173000</v>
      </c>
    </row>
    <row r="1836" spans="1:5" ht="15.75">
      <c r="A1836" s="126"/>
      <c r="B1836" s="130" t="s">
        <v>648</v>
      </c>
      <c r="C1836" s="181" t="s">
        <v>393</v>
      </c>
      <c r="D1836" s="310"/>
      <c r="E1836" s="134">
        <v>116000</v>
      </c>
    </row>
    <row r="1837" spans="1:5" ht="15.75">
      <c r="A1837" s="126"/>
      <c r="B1837" s="130" t="s">
        <v>649</v>
      </c>
      <c r="C1837" s="181" t="s">
        <v>393</v>
      </c>
      <c r="D1837" s="310"/>
      <c r="E1837" s="134">
        <v>110000</v>
      </c>
    </row>
    <row r="1838" spans="1:5" ht="15.75">
      <c r="A1838" s="126"/>
      <c r="B1838" s="130" t="s">
        <v>650</v>
      </c>
      <c r="C1838" s="181" t="s">
        <v>393</v>
      </c>
      <c r="D1838" s="310"/>
      <c r="E1838" s="134">
        <v>220000</v>
      </c>
    </row>
    <row r="1839" spans="1:5" ht="15.75">
      <c r="A1839" s="126"/>
      <c r="B1839" s="130" t="s">
        <v>651</v>
      </c>
      <c r="C1839" s="181" t="s">
        <v>393</v>
      </c>
      <c r="D1839" s="310"/>
      <c r="E1839" s="134">
        <v>242000</v>
      </c>
    </row>
    <row r="1840" spans="1:5" ht="15.75">
      <c r="A1840" s="126"/>
      <c r="B1840" s="130" t="s">
        <v>652</v>
      </c>
      <c r="C1840" s="181" t="s">
        <v>393</v>
      </c>
      <c r="D1840" s="310"/>
      <c r="E1840" s="134">
        <v>82000</v>
      </c>
    </row>
    <row r="1841" spans="1:5" ht="15.75">
      <c r="A1841" s="126"/>
      <c r="B1841" s="130" t="s">
        <v>653</v>
      </c>
      <c r="C1841" s="181" t="s">
        <v>393</v>
      </c>
      <c r="D1841" s="310"/>
      <c r="E1841" s="134">
        <v>100000</v>
      </c>
    </row>
    <row r="1842" spans="1:5" ht="15.75">
      <c r="A1842" s="126"/>
      <c r="B1842" s="130" t="s">
        <v>654</v>
      </c>
      <c r="C1842" s="181" t="s">
        <v>393</v>
      </c>
      <c r="D1842" s="310"/>
      <c r="E1842" s="134">
        <v>26000</v>
      </c>
    </row>
    <row r="1843" spans="1:5" ht="15.75">
      <c r="A1843" s="126"/>
      <c r="B1843" s="130" t="s">
        <v>655</v>
      </c>
      <c r="C1843" s="181" t="s">
        <v>393</v>
      </c>
      <c r="D1843" s="310"/>
      <c r="E1843" s="134">
        <v>46000</v>
      </c>
    </row>
    <row r="1844" spans="1:5" ht="15.75">
      <c r="A1844" s="126"/>
      <c r="B1844" s="130" t="s">
        <v>656</v>
      </c>
      <c r="C1844" s="181" t="s">
        <v>393</v>
      </c>
      <c r="D1844" s="310"/>
      <c r="E1844" s="134">
        <v>8500</v>
      </c>
    </row>
    <row r="1845" spans="1:5" ht="15.75">
      <c r="A1845" s="126"/>
      <c r="B1845" s="130" t="s">
        <v>657</v>
      </c>
      <c r="C1845" s="181" t="s">
        <v>393</v>
      </c>
      <c r="D1845" s="310"/>
      <c r="E1845" s="134">
        <v>9409</v>
      </c>
    </row>
    <row r="1846" spans="1:5" ht="15.75">
      <c r="A1846" s="126"/>
      <c r="B1846" s="130" t="s">
        <v>658</v>
      </c>
      <c r="C1846" s="181" t="s">
        <v>393</v>
      </c>
      <c r="D1846" s="310"/>
      <c r="E1846" s="134">
        <v>6000</v>
      </c>
    </row>
    <row r="1847" spans="1:5" ht="15.75">
      <c r="A1847" s="126"/>
      <c r="B1847" s="130" t="s">
        <v>659</v>
      </c>
      <c r="C1847" s="181" t="s">
        <v>393</v>
      </c>
      <c r="D1847" s="310"/>
      <c r="E1847" s="134">
        <v>6000</v>
      </c>
    </row>
    <row r="1848" spans="1:5" ht="15.75">
      <c r="A1848" s="126"/>
      <c r="B1848" s="130" t="s">
        <v>660</v>
      </c>
      <c r="C1848" s="124" t="s">
        <v>615</v>
      </c>
      <c r="D1848" s="310"/>
      <c r="E1848" s="134">
        <v>18000</v>
      </c>
    </row>
    <row r="1849" spans="1:5" ht="15.75">
      <c r="A1849" s="126"/>
      <c r="B1849" s="130" t="s">
        <v>661</v>
      </c>
      <c r="C1849" s="124" t="s">
        <v>615</v>
      </c>
      <c r="D1849" s="310"/>
      <c r="E1849" s="134">
        <v>70000</v>
      </c>
    </row>
    <row r="1850" spans="1:5" ht="15.75">
      <c r="A1850" s="126"/>
      <c r="B1850" s="130" t="s">
        <v>208</v>
      </c>
      <c r="C1850" s="124" t="s">
        <v>393</v>
      </c>
      <c r="D1850" s="310"/>
      <c r="E1850" s="134">
        <v>9000</v>
      </c>
    </row>
    <row r="1851" spans="1:5" ht="15.75">
      <c r="A1851" s="126"/>
      <c r="B1851" s="130" t="s">
        <v>209</v>
      </c>
      <c r="C1851" s="124" t="s">
        <v>393</v>
      </c>
      <c r="D1851" s="310"/>
      <c r="E1851" s="134">
        <v>8000</v>
      </c>
    </row>
    <row r="1852" spans="1:5" ht="33.75" customHeight="1">
      <c r="A1852" s="131" t="s">
        <v>1270</v>
      </c>
      <c r="B1852" s="145" t="s">
        <v>904</v>
      </c>
      <c r="C1852" s="181"/>
      <c r="D1852" s="310"/>
      <c r="E1852" s="188"/>
    </row>
    <row r="1853" spans="1:5" ht="45">
      <c r="A1853" s="126"/>
      <c r="B1853" s="198" t="s">
        <v>1262</v>
      </c>
      <c r="C1853" s="181"/>
      <c r="D1853" s="310"/>
      <c r="E1853" s="188"/>
    </row>
    <row r="1854" spans="1:5" ht="15.75">
      <c r="A1854" s="126"/>
      <c r="B1854" s="136" t="s">
        <v>905</v>
      </c>
      <c r="C1854" s="181" t="s">
        <v>393</v>
      </c>
      <c r="D1854" s="310" t="s">
        <v>2563</v>
      </c>
      <c r="E1854" s="188">
        <v>501818</v>
      </c>
    </row>
    <row r="1855" spans="1:5" ht="15.75">
      <c r="A1855" s="126"/>
      <c r="B1855" s="136" t="s">
        <v>906</v>
      </c>
      <c r="C1855" s="181" t="s">
        <v>393</v>
      </c>
      <c r="D1855" s="310" t="s">
        <v>282</v>
      </c>
      <c r="E1855" s="188">
        <v>501818</v>
      </c>
    </row>
    <row r="1856" spans="1:5" ht="18" customHeight="1">
      <c r="A1856" s="126"/>
      <c r="B1856" s="136" t="s">
        <v>907</v>
      </c>
      <c r="C1856" s="181" t="s">
        <v>393</v>
      </c>
      <c r="D1856" s="310" t="s">
        <v>282</v>
      </c>
      <c r="E1856" s="188">
        <v>1257273</v>
      </c>
    </row>
    <row r="1857" spans="1:5" ht="15.75">
      <c r="A1857" s="126"/>
      <c r="B1857" s="136" t="s">
        <v>908</v>
      </c>
      <c r="C1857" s="181" t="s">
        <v>393</v>
      </c>
      <c r="D1857" s="310" t="s">
        <v>282</v>
      </c>
      <c r="E1857" s="188">
        <v>667273</v>
      </c>
    </row>
    <row r="1858" spans="1:5" ht="15.75">
      <c r="A1858" s="126"/>
      <c r="B1858" s="136" t="s">
        <v>909</v>
      </c>
      <c r="C1858" s="181" t="s">
        <v>393</v>
      </c>
      <c r="D1858" s="310" t="s">
        <v>282</v>
      </c>
      <c r="E1858" s="188">
        <v>100909</v>
      </c>
    </row>
    <row r="1859" spans="1:5" ht="21" customHeight="1">
      <c r="A1859" s="126"/>
      <c r="B1859" s="136" t="s">
        <v>910</v>
      </c>
      <c r="C1859" s="181" t="s">
        <v>393</v>
      </c>
      <c r="D1859" s="310" t="s">
        <v>282</v>
      </c>
      <c r="E1859" s="188">
        <v>100909</v>
      </c>
    </row>
    <row r="1860" spans="1:5" ht="18.75" customHeight="1">
      <c r="A1860" s="126"/>
      <c r="B1860" s="136" t="s">
        <v>911</v>
      </c>
      <c r="C1860" s="181" t="s">
        <v>393</v>
      </c>
      <c r="D1860" s="310" t="s">
        <v>282</v>
      </c>
      <c r="E1860" s="188">
        <v>177273</v>
      </c>
    </row>
    <row r="1861" spans="1:5" ht="15.75">
      <c r="A1861" s="126"/>
      <c r="B1861" s="136" t="s">
        <v>912</v>
      </c>
      <c r="C1861" s="181" t="s">
        <v>393</v>
      </c>
      <c r="D1861" s="310" t="s">
        <v>282</v>
      </c>
      <c r="E1861" s="188">
        <v>192273</v>
      </c>
    </row>
    <row r="1862" spans="1:5" ht="15.75">
      <c r="A1862" s="126"/>
      <c r="B1862" s="136" t="s">
        <v>913</v>
      </c>
      <c r="C1862" s="181" t="s">
        <v>393</v>
      </c>
      <c r="D1862" s="310" t="s">
        <v>282</v>
      </c>
      <c r="E1862" s="188">
        <v>345455</v>
      </c>
    </row>
    <row r="1863" spans="1:5" ht="15.75">
      <c r="A1863" s="126"/>
      <c r="B1863" s="136" t="s">
        <v>914</v>
      </c>
      <c r="C1863" s="181" t="s">
        <v>393</v>
      </c>
      <c r="D1863" s="310" t="s">
        <v>282</v>
      </c>
      <c r="E1863" s="188">
        <v>160909</v>
      </c>
    </row>
    <row r="1864" spans="1:5" ht="15.75">
      <c r="A1864" s="126"/>
      <c r="B1864" s="136" t="s">
        <v>915</v>
      </c>
      <c r="C1864" s="181" t="s">
        <v>393</v>
      </c>
      <c r="D1864" s="310" t="s">
        <v>282</v>
      </c>
      <c r="E1864" s="188">
        <v>73636</v>
      </c>
    </row>
    <row r="1865" spans="1:5" ht="15.75">
      <c r="A1865" s="126"/>
      <c r="B1865" s="136" t="s">
        <v>916</v>
      </c>
      <c r="C1865" s="181" t="s">
        <v>393</v>
      </c>
      <c r="D1865" s="310" t="s">
        <v>282</v>
      </c>
      <c r="E1865" s="188">
        <v>102727</v>
      </c>
    </row>
    <row r="1866" spans="1:5" ht="15.75">
      <c r="A1866" s="126"/>
      <c r="B1866" s="136" t="s">
        <v>917</v>
      </c>
      <c r="C1866" s="181" t="s">
        <v>393</v>
      </c>
      <c r="D1866" s="310" t="s">
        <v>282</v>
      </c>
      <c r="E1866" s="188">
        <v>149182</v>
      </c>
    </row>
    <row r="1867" spans="1:5" ht="15.75">
      <c r="A1867" s="126"/>
      <c r="B1867" s="136" t="s">
        <v>929</v>
      </c>
      <c r="C1867" s="181" t="s">
        <v>393</v>
      </c>
      <c r="D1867" s="310" t="s">
        <v>282</v>
      </c>
      <c r="E1867" s="188">
        <v>152727</v>
      </c>
    </row>
    <row r="1868" spans="1:5" ht="15.75">
      <c r="A1868" s="126"/>
      <c r="B1868" s="136" t="s">
        <v>918</v>
      </c>
      <c r="C1868" s="181" t="s">
        <v>393</v>
      </c>
      <c r="D1868" s="310" t="s">
        <v>282</v>
      </c>
      <c r="E1868" s="188">
        <v>206364</v>
      </c>
    </row>
    <row r="1869" spans="1:5" ht="15.75">
      <c r="A1869" s="126"/>
      <c r="B1869" s="136" t="s">
        <v>919</v>
      </c>
      <c r="C1869" s="181" t="s">
        <v>615</v>
      </c>
      <c r="D1869" s="310" t="s">
        <v>282</v>
      </c>
      <c r="E1869" s="188">
        <v>357273</v>
      </c>
    </row>
    <row r="1870" spans="1:5" ht="15.75">
      <c r="A1870" s="126"/>
      <c r="B1870" s="136" t="s">
        <v>920</v>
      </c>
      <c r="C1870" s="181" t="s">
        <v>615</v>
      </c>
      <c r="D1870" s="310" t="s">
        <v>282</v>
      </c>
      <c r="E1870" s="188">
        <v>315455</v>
      </c>
    </row>
    <row r="1871" spans="1:5" ht="15.75">
      <c r="A1871" s="126"/>
      <c r="B1871" s="136" t="s">
        <v>921</v>
      </c>
      <c r="C1871" s="181" t="s">
        <v>393</v>
      </c>
      <c r="D1871" s="310" t="s">
        <v>282</v>
      </c>
      <c r="E1871" s="188">
        <v>284000</v>
      </c>
    </row>
    <row r="1872" spans="1:5" ht="30">
      <c r="A1872" s="126"/>
      <c r="B1872" s="136" t="s">
        <v>922</v>
      </c>
      <c r="C1872" s="181" t="s">
        <v>393</v>
      </c>
      <c r="D1872" s="310" t="s">
        <v>2564</v>
      </c>
      <c r="E1872" s="188">
        <v>8327273</v>
      </c>
    </row>
    <row r="1873" spans="1:5" ht="15.75">
      <c r="A1873" s="126"/>
      <c r="B1873" s="136" t="s">
        <v>923</v>
      </c>
      <c r="C1873" s="181" t="s">
        <v>393</v>
      </c>
      <c r="D1873" s="310" t="s">
        <v>282</v>
      </c>
      <c r="E1873" s="188">
        <v>9162727</v>
      </c>
    </row>
    <row r="1874" spans="1:5" ht="15.75">
      <c r="A1874" s="126"/>
      <c r="B1874" s="136" t="s">
        <v>924</v>
      </c>
      <c r="C1874" s="181" t="s">
        <v>393</v>
      </c>
      <c r="D1874" s="310" t="s">
        <v>282</v>
      </c>
      <c r="E1874" s="188">
        <v>10000000</v>
      </c>
    </row>
    <row r="1875" spans="1:5" ht="15.75">
      <c r="A1875" s="126"/>
      <c r="B1875" s="136" t="s">
        <v>925</v>
      </c>
      <c r="C1875" s="181" t="s">
        <v>393</v>
      </c>
      <c r="D1875" s="310" t="s">
        <v>282</v>
      </c>
      <c r="E1875" s="188">
        <v>11314545</v>
      </c>
    </row>
    <row r="1876" spans="1:5" ht="15.75">
      <c r="A1876" s="126"/>
      <c r="B1876" s="136" t="s">
        <v>926</v>
      </c>
      <c r="C1876" s="181" t="s">
        <v>393</v>
      </c>
      <c r="D1876" s="310" t="s">
        <v>282</v>
      </c>
      <c r="E1876" s="188">
        <v>12525455</v>
      </c>
    </row>
    <row r="1877" spans="1:5" ht="15.75">
      <c r="A1877" s="126"/>
      <c r="B1877" s="136" t="s">
        <v>927</v>
      </c>
      <c r="C1877" s="181" t="s">
        <v>393</v>
      </c>
      <c r="D1877" s="310" t="s">
        <v>282</v>
      </c>
      <c r="E1877" s="188">
        <v>16940909</v>
      </c>
    </row>
    <row r="1878" spans="1:5" ht="15.75">
      <c r="A1878" s="126"/>
      <c r="B1878" s="136" t="s">
        <v>928</v>
      </c>
      <c r="C1878" s="181" t="s">
        <v>393</v>
      </c>
      <c r="D1878" s="310" t="s">
        <v>282</v>
      </c>
      <c r="E1878" s="188">
        <v>18313636</v>
      </c>
    </row>
    <row r="1879" spans="1:5" ht="15.75">
      <c r="A1879" s="126"/>
      <c r="B1879" s="136" t="s">
        <v>1058</v>
      </c>
      <c r="C1879" s="181" t="s">
        <v>615</v>
      </c>
      <c r="D1879" s="310" t="s">
        <v>282</v>
      </c>
      <c r="E1879" s="188">
        <v>8246364</v>
      </c>
    </row>
    <row r="1880" spans="1:5" ht="15.75">
      <c r="A1880" s="126"/>
      <c r="B1880" s="136" t="s">
        <v>1059</v>
      </c>
      <c r="C1880" s="181" t="s">
        <v>615</v>
      </c>
      <c r="D1880" s="310" t="s">
        <v>282</v>
      </c>
      <c r="E1880" s="188">
        <v>9475455</v>
      </c>
    </row>
    <row r="1881" spans="1:5" ht="15.75">
      <c r="A1881" s="126"/>
      <c r="B1881" s="136" t="s">
        <v>1060</v>
      </c>
      <c r="C1881" s="181" t="s">
        <v>615</v>
      </c>
      <c r="D1881" s="310" t="s">
        <v>282</v>
      </c>
      <c r="E1881" s="188">
        <v>10761818</v>
      </c>
    </row>
    <row r="1882" spans="1:5" ht="15.75">
      <c r="A1882" s="126"/>
      <c r="B1882" s="136" t="s">
        <v>1061</v>
      </c>
      <c r="C1882" s="181" t="s">
        <v>615</v>
      </c>
      <c r="D1882" s="310" t="s">
        <v>282</v>
      </c>
      <c r="E1882" s="188">
        <v>11546364</v>
      </c>
    </row>
    <row r="1883" spans="1:5" ht="15.75">
      <c r="A1883" s="126"/>
      <c r="B1883" s="136" t="s">
        <v>1062</v>
      </c>
      <c r="C1883" s="181" t="s">
        <v>615</v>
      </c>
      <c r="D1883" s="310" t="s">
        <v>282</v>
      </c>
      <c r="E1883" s="188">
        <v>13558182</v>
      </c>
    </row>
    <row r="1884" spans="1:5" ht="15.75">
      <c r="A1884" s="126"/>
      <c r="B1884" s="136" t="s">
        <v>1063</v>
      </c>
      <c r="C1884" s="181" t="s">
        <v>615</v>
      </c>
      <c r="D1884" s="310" t="s">
        <v>282</v>
      </c>
      <c r="E1884" s="188">
        <v>17916364</v>
      </c>
    </row>
    <row r="1885" spans="1:5" ht="15.75">
      <c r="A1885" s="126"/>
      <c r="B1885" s="136" t="s">
        <v>1057</v>
      </c>
      <c r="C1885" s="181" t="s">
        <v>615</v>
      </c>
      <c r="D1885" s="310" t="s">
        <v>282</v>
      </c>
      <c r="E1885" s="188">
        <v>19313636</v>
      </c>
    </row>
    <row r="1886" spans="1:5" ht="15.75">
      <c r="A1886" s="126"/>
      <c r="B1886" s="136" t="s">
        <v>1301</v>
      </c>
      <c r="C1886" s="181" t="s">
        <v>393</v>
      </c>
      <c r="D1886" s="310" t="s">
        <v>282</v>
      </c>
      <c r="E1886" s="188" t="s">
        <v>1302</v>
      </c>
    </row>
    <row r="1887" spans="1:5" ht="15.75">
      <c r="A1887" s="126"/>
      <c r="B1887" s="136" t="s">
        <v>991</v>
      </c>
      <c r="C1887" s="181" t="s">
        <v>393</v>
      </c>
      <c r="D1887" s="310" t="s">
        <v>2563</v>
      </c>
      <c r="E1887" s="188">
        <v>29091</v>
      </c>
    </row>
    <row r="1888" spans="1:5" ht="15.75">
      <c r="A1888" s="126"/>
      <c r="B1888" s="136" t="s">
        <v>992</v>
      </c>
      <c r="C1888" s="181" t="s">
        <v>393</v>
      </c>
      <c r="D1888" s="310" t="s">
        <v>282</v>
      </c>
      <c r="E1888" s="188">
        <v>37273</v>
      </c>
    </row>
    <row r="1889" spans="1:5" ht="15.75">
      <c r="A1889" s="126"/>
      <c r="B1889" s="136" t="s">
        <v>993</v>
      </c>
      <c r="C1889" s="181" t="s">
        <v>393</v>
      </c>
      <c r="D1889" s="310" t="s">
        <v>282</v>
      </c>
      <c r="E1889" s="188">
        <v>62727</v>
      </c>
    </row>
    <row r="1890" spans="1:5" ht="15.75">
      <c r="A1890" s="126"/>
      <c r="B1890" s="136" t="s">
        <v>994</v>
      </c>
      <c r="C1890" s="181" t="s">
        <v>393</v>
      </c>
      <c r="D1890" s="310" t="s">
        <v>282</v>
      </c>
      <c r="E1890" s="188">
        <v>72727</v>
      </c>
    </row>
    <row r="1891" spans="1:5" ht="15.75">
      <c r="A1891" s="126"/>
      <c r="B1891" s="136" t="s">
        <v>995</v>
      </c>
      <c r="C1891" s="181" t="s">
        <v>393</v>
      </c>
      <c r="D1891" s="310" t="s">
        <v>282</v>
      </c>
      <c r="E1891" s="188">
        <v>31818</v>
      </c>
    </row>
    <row r="1892" spans="1:5" ht="15.75">
      <c r="A1892" s="126"/>
      <c r="B1892" s="136" t="s">
        <v>996</v>
      </c>
      <c r="C1892" s="181" t="s">
        <v>393</v>
      </c>
      <c r="D1892" s="310" t="s">
        <v>282</v>
      </c>
      <c r="E1892" s="188">
        <v>40000</v>
      </c>
    </row>
    <row r="1893" spans="1:5" ht="15.75">
      <c r="A1893" s="126"/>
      <c r="B1893" s="136" t="s">
        <v>997</v>
      </c>
      <c r="C1893" s="181" t="s">
        <v>393</v>
      </c>
      <c r="D1893" s="310" t="s">
        <v>282</v>
      </c>
      <c r="E1893" s="188">
        <v>36364</v>
      </c>
    </row>
    <row r="1894" spans="1:5" ht="15.75">
      <c r="A1894" s="126"/>
      <c r="B1894" s="136" t="s">
        <v>998</v>
      </c>
      <c r="C1894" s="181" t="s">
        <v>393</v>
      </c>
      <c r="D1894" s="310" t="s">
        <v>282</v>
      </c>
      <c r="E1894" s="188">
        <v>44545</v>
      </c>
    </row>
    <row r="1895" spans="1:5" ht="15.75">
      <c r="A1895" s="126"/>
      <c r="B1895" s="136" t="s">
        <v>999</v>
      </c>
      <c r="C1895" s="181" t="s">
        <v>393</v>
      </c>
      <c r="D1895" s="310" t="s">
        <v>282</v>
      </c>
      <c r="E1895" s="188">
        <v>62727</v>
      </c>
    </row>
    <row r="1896" spans="1:5" ht="15.75">
      <c r="A1896" s="126"/>
      <c r="B1896" s="136" t="s">
        <v>1000</v>
      </c>
      <c r="C1896" s="181" t="s">
        <v>393</v>
      </c>
      <c r="D1896" s="310" t="s">
        <v>282</v>
      </c>
      <c r="E1896" s="188">
        <v>79091</v>
      </c>
    </row>
    <row r="1897" spans="1:5" ht="15.75">
      <c r="A1897" s="126"/>
      <c r="B1897" s="136" t="s">
        <v>1001</v>
      </c>
      <c r="C1897" s="181" t="s">
        <v>393</v>
      </c>
      <c r="D1897" s="310" t="s">
        <v>282</v>
      </c>
      <c r="E1897" s="188">
        <v>125455</v>
      </c>
    </row>
    <row r="1898" spans="1:5" ht="15.75">
      <c r="A1898" s="126"/>
      <c r="B1898" s="136" t="s">
        <v>1002</v>
      </c>
      <c r="C1898" s="181" t="s">
        <v>393</v>
      </c>
      <c r="D1898" s="310" t="s">
        <v>282</v>
      </c>
      <c r="E1898" s="188">
        <v>179091</v>
      </c>
    </row>
    <row r="1899" spans="1:5" ht="15.75">
      <c r="A1899" s="126"/>
      <c r="B1899" s="136" t="s">
        <v>1003</v>
      </c>
      <c r="C1899" s="181" t="s">
        <v>393</v>
      </c>
      <c r="D1899" s="310" t="s">
        <v>282</v>
      </c>
      <c r="E1899" s="188">
        <v>145455</v>
      </c>
    </row>
    <row r="1900" spans="1:5" ht="15.75">
      <c r="A1900" s="126"/>
      <c r="B1900" s="136" t="s">
        <v>1004</v>
      </c>
      <c r="C1900" s="181" t="s">
        <v>393</v>
      </c>
      <c r="D1900" s="310" t="s">
        <v>282</v>
      </c>
      <c r="E1900" s="188">
        <v>76364</v>
      </c>
    </row>
    <row r="1901" spans="1:5" ht="15.75">
      <c r="A1901" s="126"/>
      <c r="B1901" s="136" t="s">
        <v>1005</v>
      </c>
      <c r="C1901" s="181" t="s">
        <v>393</v>
      </c>
      <c r="D1901" s="310" t="s">
        <v>282</v>
      </c>
      <c r="E1901" s="188">
        <v>101818</v>
      </c>
    </row>
    <row r="1902" spans="1:5" ht="15.75">
      <c r="A1902" s="126"/>
      <c r="B1902" s="136" t="s">
        <v>1006</v>
      </c>
      <c r="C1902" s="181" t="s">
        <v>393</v>
      </c>
      <c r="D1902" s="310" t="s">
        <v>282</v>
      </c>
      <c r="E1902" s="188">
        <v>135455</v>
      </c>
    </row>
    <row r="1903" spans="1:5" ht="15.75">
      <c r="A1903" s="126"/>
      <c r="B1903" s="136" t="s">
        <v>1007</v>
      </c>
      <c r="C1903" s="181" t="s">
        <v>615</v>
      </c>
      <c r="D1903" s="310" t="s">
        <v>282</v>
      </c>
      <c r="E1903" s="188">
        <v>57273</v>
      </c>
    </row>
    <row r="1904" spans="1:5" ht="15.75">
      <c r="A1904" s="126"/>
      <c r="B1904" s="136" t="s">
        <v>1008</v>
      </c>
      <c r="C1904" s="181" t="s">
        <v>615</v>
      </c>
      <c r="D1904" s="310" t="s">
        <v>282</v>
      </c>
      <c r="E1904" s="188">
        <v>70000</v>
      </c>
    </row>
    <row r="1905" spans="1:5" ht="15.75">
      <c r="A1905" s="126"/>
      <c r="B1905" s="136" t="s">
        <v>1009</v>
      </c>
      <c r="C1905" s="181" t="s">
        <v>615</v>
      </c>
      <c r="D1905" s="310" t="s">
        <v>282</v>
      </c>
      <c r="E1905" s="188">
        <v>75455</v>
      </c>
    </row>
    <row r="1906" spans="1:5" ht="15.75">
      <c r="A1906" s="126"/>
      <c r="B1906" s="136" t="s">
        <v>1010</v>
      </c>
      <c r="C1906" s="181" t="s">
        <v>615</v>
      </c>
      <c r="D1906" s="310" t="s">
        <v>282</v>
      </c>
      <c r="E1906" s="188">
        <v>92727</v>
      </c>
    </row>
    <row r="1907" spans="1:5" ht="15.75">
      <c r="A1907" s="126"/>
      <c r="B1907" s="136" t="s">
        <v>1011</v>
      </c>
      <c r="C1907" s="181" t="s">
        <v>615</v>
      </c>
      <c r="D1907" s="310" t="s">
        <v>282</v>
      </c>
      <c r="E1907" s="188">
        <v>104545</v>
      </c>
    </row>
    <row r="1908" spans="1:5" ht="15.75">
      <c r="A1908" s="126"/>
      <c r="B1908" s="136" t="s">
        <v>1012</v>
      </c>
      <c r="C1908" s="181" t="s">
        <v>615</v>
      </c>
      <c r="D1908" s="310" t="s">
        <v>282</v>
      </c>
      <c r="E1908" s="188">
        <v>109091</v>
      </c>
    </row>
    <row r="1909" spans="1:5" ht="15.75">
      <c r="A1909" s="126"/>
      <c r="B1909" s="136" t="s">
        <v>1013</v>
      </c>
      <c r="C1909" s="181" t="s">
        <v>615</v>
      </c>
      <c r="D1909" s="310" t="s">
        <v>282</v>
      </c>
      <c r="E1909" s="188">
        <v>116364</v>
      </c>
    </row>
    <row r="1910" spans="1:5" ht="15.75">
      <c r="A1910" s="126"/>
      <c r="B1910" s="136" t="s">
        <v>1014</v>
      </c>
      <c r="C1910" s="181" t="s">
        <v>615</v>
      </c>
      <c r="D1910" s="310" t="s">
        <v>282</v>
      </c>
      <c r="E1910" s="188">
        <v>57273</v>
      </c>
    </row>
    <row r="1911" spans="1:5" ht="15.75">
      <c r="A1911" s="126"/>
      <c r="B1911" s="136" t="s">
        <v>1015</v>
      </c>
      <c r="C1911" s="181" t="s">
        <v>615</v>
      </c>
      <c r="D1911" s="310" t="s">
        <v>282</v>
      </c>
      <c r="E1911" s="188">
        <v>70000</v>
      </c>
    </row>
    <row r="1912" spans="1:5" ht="15.75">
      <c r="A1912" s="126"/>
      <c r="B1912" s="136" t="s">
        <v>1016</v>
      </c>
      <c r="C1912" s="181" t="s">
        <v>393</v>
      </c>
      <c r="D1912" s="310" t="s">
        <v>282</v>
      </c>
      <c r="E1912" s="188">
        <v>51818</v>
      </c>
    </row>
    <row r="1913" spans="1:5" ht="14.25" customHeight="1">
      <c r="A1913" s="126"/>
      <c r="B1913" s="136" t="s">
        <v>1017</v>
      </c>
      <c r="C1913" s="181" t="s">
        <v>393</v>
      </c>
      <c r="D1913" s="310" t="s">
        <v>282</v>
      </c>
      <c r="E1913" s="188">
        <v>73636</v>
      </c>
    </row>
    <row r="1914" spans="1:5" ht="30">
      <c r="A1914" s="126"/>
      <c r="B1914" s="130" t="s">
        <v>1018</v>
      </c>
      <c r="C1914" s="181" t="s">
        <v>393</v>
      </c>
      <c r="D1914" s="310" t="s">
        <v>282</v>
      </c>
      <c r="E1914" s="188">
        <v>102727</v>
      </c>
    </row>
    <row r="1915" spans="1:5" ht="45">
      <c r="A1915" s="126"/>
      <c r="B1915" s="130" t="s">
        <v>1021</v>
      </c>
      <c r="C1915" s="181" t="s">
        <v>393</v>
      </c>
      <c r="D1915" s="310" t="s">
        <v>282</v>
      </c>
      <c r="E1915" s="188">
        <v>107273</v>
      </c>
    </row>
    <row r="1916" spans="1:5" ht="45">
      <c r="A1916" s="126"/>
      <c r="B1916" s="130" t="s">
        <v>1022</v>
      </c>
      <c r="C1916" s="181" t="s">
        <v>393</v>
      </c>
      <c r="D1916" s="310" t="s">
        <v>282</v>
      </c>
      <c r="E1916" s="188">
        <v>219091</v>
      </c>
    </row>
    <row r="1917" spans="1:5" ht="45">
      <c r="A1917" s="126"/>
      <c r="B1917" s="130" t="s">
        <v>1023</v>
      </c>
      <c r="C1917" s="181" t="s">
        <v>393</v>
      </c>
      <c r="D1917" s="310" t="s">
        <v>282</v>
      </c>
      <c r="E1917" s="188">
        <v>243636</v>
      </c>
    </row>
    <row r="1918" spans="1:5" ht="45">
      <c r="A1918" s="126"/>
      <c r="B1918" s="130" t="s">
        <v>1019</v>
      </c>
      <c r="C1918" s="181" t="s">
        <v>393</v>
      </c>
      <c r="D1918" s="310" t="s">
        <v>282</v>
      </c>
      <c r="E1918" s="188">
        <v>191818</v>
      </c>
    </row>
    <row r="1919" spans="1:5" ht="45">
      <c r="A1919" s="126"/>
      <c r="B1919" s="130" t="s">
        <v>1020</v>
      </c>
      <c r="C1919" s="181" t="s">
        <v>393</v>
      </c>
      <c r="D1919" s="310" t="s">
        <v>282</v>
      </c>
      <c r="E1919" s="188">
        <v>171818</v>
      </c>
    </row>
    <row r="1920" spans="1:5" ht="15.75">
      <c r="A1920" s="126"/>
      <c r="B1920" s="136" t="s">
        <v>1025</v>
      </c>
      <c r="C1920" s="181" t="s">
        <v>615</v>
      </c>
      <c r="D1920" s="310" t="s">
        <v>282</v>
      </c>
      <c r="E1920" s="188">
        <v>153636</v>
      </c>
    </row>
    <row r="1921" spans="1:5" ht="15.75">
      <c r="A1921" s="126"/>
      <c r="B1921" s="136" t="s">
        <v>1024</v>
      </c>
      <c r="C1921" s="181" t="s">
        <v>615</v>
      </c>
      <c r="D1921" s="310" t="s">
        <v>282</v>
      </c>
      <c r="E1921" s="188">
        <v>219091</v>
      </c>
    </row>
    <row r="1922" spans="1:5" ht="45">
      <c r="A1922" s="126"/>
      <c r="B1922" s="130" t="s">
        <v>1026</v>
      </c>
      <c r="C1922" s="181" t="s">
        <v>393</v>
      </c>
      <c r="D1922" s="310" t="s">
        <v>282</v>
      </c>
      <c r="E1922" s="188">
        <v>107273</v>
      </c>
    </row>
    <row r="1923" spans="1:5" ht="30">
      <c r="A1923" s="126"/>
      <c r="B1923" s="130" t="s">
        <v>1027</v>
      </c>
      <c r="C1923" s="181" t="s">
        <v>393</v>
      </c>
      <c r="D1923" s="310" t="s">
        <v>282</v>
      </c>
      <c r="E1923" s="188">
        <v>148182</v>
      </c>
    </row>
    <row r="1924" spans="1:5" ht="45">
      <c r="A1924" s="126"/>
      <c r="B1924" s="130" t="s">
        <v>1028</v>
      </c>
      <c r="C1924" s="181" t="s">
        <v>393</v>
      </c>
      <c r="D1924" s="310" t="s">
        <v>282</v>
      </c>
      <c r="E1924" s="188">
        <v>152727</v>
      </c>
    </row>
    <row r="1925" spans="1:5" ht="45">
      <c r="A1925" s="126"/>
      <c r="B1925" s="130" t="s">
        <v>1029</v>
      </c>
      <c r="C1925" s="181" t="s">
        <v>393</v>
      </c>
      <c r="D1925" s="310" t="s">
        <v>282</v>
      </c>
      <c r="E1925" s="188">
        <v>180000</v>
      </c>
    </row>
    <row r="1926" spans="1:5" ht="30">
      <c r="A1926" s="126"/>
      <c r="B1926" s="130" t="s">
        <v>1031</v>
      </c>
      <c r="C1926" s="181" t="s">
        <v>1030</v>
      </c>
      <c r="D1926" s="310" t="s">
        <v>282</v>
      </c>
      <c r="E1926" s="188">
        <v>141818</v>
      </c>
    </row>
    <row r="1927" spans="1:5" ht="18.75" customHeight="1">
      <c r="A1927" s="126"/>
      <c r="B1927" s="130" t="s">
        <v>1032</v>
      </c>
      <c r="C1927" s="181" t="s">
        <v>1030</v>
      </c>
      <c r="D1927" s="310" t="s">
        <v>282</v>
      </c>
      <c r="E1927" s="188">
        <v>206364</v>
      </c>
    </row>
    <row r="1928" spans="1:5" ht="30">
      <c r="A1928" s="126"/>
      <c r="B1928" s="130" t="s">
        <v>1033</v>
      </c>
      <c r="C1928" s="181" t="s">
        <v>1030</v>
      </c>
      <c r="D1928" s="310" t="s">
        <v>282</v>
      </c>
      <c r="E1928" s="188">
        <v>132727</v>
      </c>
    </row>
    <row r="1929" spans="1:5" ht="30.75" customHeight="1">
      <c r="A1929" s="126"/>
      <c r="B1929" s="130" t="s">
        <v>1034</v>
      </c>
      <c r="C1929" s="181" t="s">
        <v>1030</v>
      </c>
      <c r="D1929" s="310" t="s">
        <v>282</v>
      </c>
      <c r="E1929" s="188">
        <v>189091</v>
      </c>
    </row>
    <row r="1930" spans="1:5" ht="19.5" customHeight="1">
      <c r="A1930" s="126"/>
      <c r="B1930" s="130" t="s">
        <v>1036</v>
      </c>
      <c r="C1930" s="181" t="s">
        <v>1030</v>
      </c>
      <c r="D1930" s="310" t="s">
        <v>282</v>
      </c>
      <c r="E1930" s="188">
        <v>83636</v>
      </c>
    </row>
    <row r="1931" spans="1:5" ht="20.25" customHeight="1">
      <c r="A1931" s="126"/>
      <c r="B1931" s="130" t="s">
        <v>1035</v>
      </c>
      <c r="C1931" s="181" t="s">
        <v>1030</v>
      </c>
      <c r="D1931" s="310" t="s">
        <v>282</v>
      </c>
      <c r="E1931" s="188">
        <v>111818</v>
      </c>
    </row>
    <row r="1932" spans="1:5" ht="15.75">
      <c r="A1932" s="126"/>
      <c r="B1932" s="136" t="s">
        <v>1037</v>
      </c>
      <c r="C1932" s="181" t="s">
        <v>393</v>
      </c>
      <c r="D1932" s="310" t="s">
        <v>282</v>
      </c>
      <c r="E1932" s="188">
        <v>669091</v>
      </c>
    </row>
    <row r="1933" spans="1:5" ht="27.75" customHeight="1">
      <c r="A1933" s="126"/>
      <c r="B1933" s="136" t="s">
        <v>1038</v>
      </c>
      <c r="C1933" s="181" t="s">
        <v>393</v>
      </c>
      <c r="D1933" s="310" t="s">
        <v>282</v>
      </c>
      <c r="E1933" s="188">
        <v>1064545</v>
      </c>
    </row>
    <row r="1934" spans="1:5" ht="21" customHeight="1">
      <c r="A1934" s="126"/>
      <c r="B1934" s="136" t="s">
        <v>1039</v>
      </c>
      <c r="C1934" s="181" t="s">
        <v>393</v>
      </c>
      <c r="D1934" s="310" t="s">
        <v>282</v>
      </c>
      <c r="E1934" s="188">
        <v>1255455</v>
      </c>
    </row>
    <row r="1935" spans="1:5" ht="15.75">
      <c r="A1935" s="126"/>
      <c r="B1935" s="136" t="s">
        <v>1040</v>
      </c>
      <c r="C1935" s="181" t="s">
        <v>393</v>
      </c>
      <c r="D1935" s="310" t="s">
        <v>282</v>
      </c>
      <c r="E1935" s="188">
        <v>3426364</v>
      </c>
    </row>
    <row r="1936" spans="1:5" ht="21" customHeight="1">
      <c r="A1936" s="126"/>
      <c r="B1936" s="136" t="s">
        <v>1041</v>
      </c>
      <c r="C1936" s="181" t="s">
        <v>615</v>
      </c>
      <c r="D1936" s="310" t="s">
        <v>282</v>
      </c>
      <c r="E1936" s="188">
        <v>5673636</v>
      </c>
    </row>
    <row r="1937" spans="1:5" ht="21" customHeight="1">
      <c r="A1937" s="126"/>
      <c r="B1937" s="136" t="s">
        <v>1042</v>
      </c>
      <c r="C1937" s="181" t="s">
        <v>615</v>
      </c>
      <c r="D1937" s="310" t="s">
        <v>282</v>
      </c>
      <c r="E1937" s="188">
        <v>6977273</v>
      </c>
    </row>
    <row r="1938" spans="1:5" ht="20.25" customHeight="1">
      <c r="A1938" s="126"/>
      <c r="B1938" s="136" t="s">
        <v>1043</v>
      </c>
      <c r="C1938" s="181" t="s">
        <v>615</v>
      </c>
      <c r="D1938" s="310" t="s">
        <v>282</v>
      </c>
      <c r="E1938" s="188">
        <v>394545</v>
      </c>
    </row>
    <row r="1939" spans="1:5" ht="30">
      <c r="A1939" s="126"/>
      <c r="B1939" s="130" t="s">
        <v>1044</v>
      </c>
      <c r="C1939" s="181" t="s">
        <v>615</v>
      </c>
      <c r="D1939" s="310" t="s">
        <v>282</v>
      </c>
      <c r="E1939" s="188">
        <v>140909</v>
      </c>
    </row>
    <row r="1940" spans="1:5" ht="15.75">
      <c r="A1940" s="126"/>
      <c r="B1940" s="136" t="s">
        <v>1299</v>
      </c>
      <c r="C1940" s="181"/>
      <c r="D1940" s="310" t="s">
        <v>282</v>
      </c>
      <c r="E1940" s="188">
        <v>764.545</v>
      </c>
    </row>
    <row r="1941" spans="1:5" ht="15.75">
      <c r="A1941" s="126"/>
      <c r="B1941" s="136" t="s">
        <v>1300</v>
      </c>
      <c r="C1941" s="181"/>
      <c r="D1941" s="310" t="s">
        <v>282</v>
      </c>
      <c r="E1941" s="188">
        <v>770.909</v>
      </c>
    </row>
    <row r="1942" spans="1:5" ht="15.75">
      <c r="A1942" s="126"/>
      <c r="B1942" s="136" t="s">
        <v>1045</v>
      </c>
      <c r="C1942" s="181" t="s">
        <v>393</v>
      </c>
      <c r="D1942" s="310" t="s">
        <v>282</v>
      </c>
      <c r="E1942" s="188">
        <v>38273</v>
      </c>
    </row>
    <row r="1943" spans="1:5" ht="15.75">
      <c r="A1943" s="126"/>
      <c r="B1943" s="136" t="s">
        <v>1046</v>
      </c>
      <c r="C1943" s="181" t="s">
        <v>393</v>
      </c>
      <c r="D1943" s="310" t="s">
        <v>282</v>
      </c>
      <c r="E1943" s="188">
        <v>39636</v>
      </c>
    </row>
    <row r="1944" spans="1:5" ht="15.75">
      <c r="A1944" s="126"/>
      <c r="B1944" s="136" t="s">
        <v>1047</v>
      </c>
      <c r="C1944" s="181" t="s">
        <v>393</v>
      </c>
      <c r="D1944" s="310" t="s">
        <v>282</v>
      </c>
      <c r="E1944" s="188">
        <v>112727</v>
      </c>
    </row>
    <row r="1945" spans="1:5" ht="15.75">
      <c r="A1945" s="126"/>
      <c r="B1945" s="136" t="s">
        <v>1048</v>
      </c>
      <c r="C1945" s="181" t="s">
        <v>393</v>
      </c>
      <c r="D1945" s="310" t="s">
        <v>282</v>
      </c>
      <c r="E1945" s="188">
        <v>112727</v>
      </c>
    </row>
    <row r="1946" spans="1:5" ht="32.25" customHeight="1">
      <c r="A1946" s="131" t="s">
        <v>1386</v>
      </c>
      <c r="B1946" s="145" t="s">
        <v>1413</v>
      </c>
      <c r="C1946" s="181"/>
      <c r="D1946" s="310"/>
      <c r="E1946" s="188"/>
    </row>
    <row r="1947" spans="1:5" ht="15.75">
      <c r="A1947" s="131" t="s">
        <v>380</v>
      </c>
      <c r="B1947" s="127" t="s">
        <v>1414</v>
      </c>
      <c r="C1947" s="181"/>
      <c r="D1947" s="124" t="s">
        <v>2521</v>
      </c>
      <c r="E1947" s="188"/>
    </row>
    <row r="1948" spans="1:5" ht="30">
      <c r="A1948" s="126"/>
      <c r="B1948" s="130" t="s">
        <v>1415</v>
      </c>
      <c r="C1948" s="181" t="s">
        <v>1387</v>
      </c>
      <c r="D1948" s="310"/>
      <c r="E1948" s="188">
        <v>1920000</v>
      </c>
    </row>
    <row r="1949" spans="1:5" ht="30">
      <c r="A1949" s="126"/>
      <c r="B1949" s="130" t="s">
        <v>1416</v>
      </c>
      <c r="C1949" s="181" t="s">
        <v>1387</v>
      </c>
      <c r="D1949" s="310"/>
      <c r="E1949" s="188">
        <v>2600000</v>
      </c>
    </row>
    <row r="1950" spans="1:5" ht="30">
      <c r="A1950" s="126"/>
      <c r="B1950" s="130" t="s">
        <v>1417</v>
      </c>
      <c r="C1950" s="181" t="s">
        <v>1387</v>
      </c>
      <c r="D1950" s="310"/>
      <c r="E1950" s="188">
        <v>3500000</v>
      </c>
    </row>
    <row r="1951" spans="1:5" ht="30">
      <c r="A1951" s="126"/>
      <c r="B1951" s="130" t="s">
        <v>1418</v>
      </c>
      <c r="C1951" s="181" t="s">
        <v>1387</v>
      </c>
      <c r="D1951" s="310"/>
      <c r="E1951" s="188">
        <v>2450000</v>
      </c>
    </row>
    <row r="1952" spans="1:5" ht="30">
      <c r="A1952" s="126"/>
      <c r="B1952" s="130" t="s">
        <v>1419</v>
      </c>
      <c r="C1952" s="181" t="s">
        <v>1387</v>
      </c>
      <c r="D1952" s="310"/>
      <c r="E1952" s="188">
        <v>3390000</v>
      </c>
    </row>
    <row r="1953" spans="1:5" ht="32.25" customHeight="1">
      <c r="A1953" s="126"/>
      <c r="B1953" s="130" t="s">
        <v>1420</v>
      </c>
      <c r="C1953" s="181" t="s">
        <v>1387</v>
      </c>
      <c r="D1953" s="310"/>
      <c r="E1953" s="188">
        <v>4560000</v>
      </c>
    </row>
    <row r="1954" spans="1:5" ht="19.5" customHeight="1">
      <c r="A1954" s="126"/>
      <c r="B1954" s="130" t="s">
        <v>1421</v>
      </c>
      <c r="C1954" s="181" t="s">
        <v>1387</v>
      </c>
      <c r="D1954" s="310"/>
      <c r="E1954" s="188">
        <v>2100000</v>
      </c>
    </row>
    <row r="1955" spans="1:5" ht="30">
      <c r="A1955" s="126"/>
      <c r="B1955" s="130" t="s">
        <v>1422</v>
      </c>
      <c r="C1955" s="181" t="s">
        <v>1387</v>
      </c>
      <c r="D1955" s="310"/>
      <c r="E1955" s="188">
        <v>2850000</v>
      </c>
    </row>
    <row r="1956" spans="1:5" ht="30">
      <c r="A1956" s="126"/>
      <c r="B1956" s="130" t="s">
        <v>1423</v>
      </c>
      <c r="C1956" s="181" t="s">
        <v>1387</v>
      </c>
      <c r="D1956" s="310"/>
      <c r="E1956" s="188">
        <v>3750000</v>
      </c>
    </row>
    <row r="1957" spans="1:5" ht="30">
      <c r="A1957" s="126"/>
      <c r="B1957" s="130" t="s">
        <v>1424</v>
      </c>
      <c r="C1957" s="181" t="s">
        <v>1387</v>
      </c>
      <c r="D1957" s="310"/>
      <c r="E1957" s="188">
        <v>2620000</v>
      </c>
    </row>
    <row r="1958" spans="1:5" ht="30">
      <c r="A1958" s="126"/>
      <c r="B1958" s="130" t="s">
        <v>1425</v>
      </c>
      <c r="C1958" s="181" t="s">
        <v>1387</v>
      </c>
      <c r="D1958" s="310"/>
      <c r="E1958" s="188">
        <v>3580000</v>
      </c>
    </row>
    <row r="1959" spans="1:5" ht="30">
      <c r="A1959" s="126"/>
      <c r="B1959" s="130" t="s">
        <v>1426</v>
      </c>
      <c r="C1959" s="181" t="s">
        <v>1387</v>
      </c>
      <c r="D1959" s="310"/>
      <c r="E1959" s="188">
        <v>4800000</v>
      </c>
    </row>
    <row r="1960" spans="1:5" ht="15.75">
      <c r="A1960" s="131" t="s">
        <v>380</v>
      </c>
      <c r="B1960" s="127" t="s">
        <v>1427</v>
      </c>
      <c r="C1960" s="181"/>
      <c r="D1960" s="124" t="s">
        <v>2521</v>
      </c>
      <c r="E1960" s="188"/>
    </row>
    <row r="1961" spans="1:5" ht="15.75">
      <c r="A1961" s="126"/>
      <c r="B1961" s="130" t="s">
        <v>1428</v>
      </c>
      <c r="C1961" s="181" t="s">
        <v>1387</v>
      </c>
      <c r="D1961" s="310"/>
      <c r="E1961" s="188">
        <v>2250000</v>
      </c>
    </row>
    <row r="1962" spans="1:5" ht="15.75">
      <c r="A1962" s="126"/>
      <c r="B1962" s="130" t="s">
        <v>1429</v>
      </c>
      <c r="C1962" s="181" t="s">
        <v>1387</v>
      </c>
      <c r="D1962" s="310"/>
      <c r="E1962" s="188">
        <v>3580000</v>
      </c>
    </row>
    <row r="1963" spans="1:5" ht="15.75">
      <c r="A1963" s="126"/>
      <c r="B1963" s="130" t="s">
        <v>1430</v>
      </c>
      <c r="C1963" s="181" t="s">
        <v>1387</v>
      </c>
      <c r="D1963" s="310"/>
      <c r="E1963" s="188">
        <v>2860000</v>
      </c>
    </row>
    <row r="1964" spans="1:5" ht="15.75">
      <c r="A1964" s="126"/>
      <c r="B1964" s="130" t="s">
        <v>1431</v>
      </c>
      <c r="C1964" s="181" t="s">
        <v>1387</v>
      </c>
      <c r="D1964" s="310"/>
      <c r="E1964" s="188">
        <v>4020000</v>
      </c>
    </row>
    <row r="1965" spans="1:5" ht="15.75">
      <c r="A1965" s="126" t="s">
        <v>380</v>
      </c>
      <c r="B1965" s="127" t="s">
        <v>1432</v>
      </c>
      <c r="C1965" s="181"/>
      <c r="D1965" s="124" t="s">
        <v>2521</v>
      </c>
      <c r="E1965" s="188"/>
    </row>
    <row r="1966" spans="1:5" ht="15.75">
      <c r="A1966" s="126"/>
      <c r="B1966" s="130" t="s">
        <v>1433</v>
      </c>
      <c r="C1966" s="181" t="s">
        <v>1434</v>
      </c>
      <c r="D1966" s="310"/>
      <c r="E1966" s="188">
        <v>1000000</v>
      </c>
    </row>
    <row r="1967" spans="1:5" ht="15.75">
      <c r="A1967" s="126"/>
      <c r="B1967" s="130" t="s">
        <v>1435</v>
      </c>
      <c r="C1967" s="181" t="s">
        <v>1434</v>
      </c>
      <c r="D1967" s="310"/>
      <c r="E1967" s="188">
        <v>1580000</v>
      </c>
    </row>
    <row r="1968" spans="1:5" ht="15.75">
      <c r="A1968" s="126"/>
      <c r="B1968" s="130" t="s">
        <v>1436</v>
      </c>
      <c r="C1968" s="181" t="s">
        <v>1434</v>
      </c>
      <c r="D1968" s="310"/>
      <c r="E1968" s="188">
        <v>780000</v>
      </c>
    </row>
    <row r="1969" spans="1:5" ht="15.75">
      <c r="A1969" s="126"/>
      <c r="B1969" s="130" t="s">
        <v>1437</v>
      </c>
      <c r="C1969" s="181" t="s">
        <v>1434</v>
      </c>
      <c r="D1969" s="310"/>
      <c r="E1969" s="188">
        <v>1150000</v>
      </c>
    </row>
    <row r="1970" spans="1:5" ht="15.75">
      <c r="A1970" s="126"/>
      <c r="B1970" s="130" t="s">
        <v>1438</v>
      </c>
      <c r="C1970" s="181" t="s">
        <v>1434</v>
      </c>
      <c r="D1970" s="310"/>
      <c r="E1970" s="188">
        <v>700000</v>
      </c>
    </row>
    <row r="1971" spans="1:5" ht="15.75">
      <c r="A1971" s="126"/>
      <c r="B1971" s="130" t="s">
        <v>1439</v>
      </c>
      <c r="C1971" s="181" t="s">
        <v>1434</v>
      </c>
      <c r="D1971" s="310"/>
      <c r="E1971" s="188">
        <v>1050000</v>
      </c>
    </row>
    <row r="1972" spans="1:5" ht="19.5" customHeight="1">
      <c r="A1972" s="126" t="s">
        <v>380</v>
      </c>
      <c r="B1972" s="199" t="s">
        <v>1440</v>
      </c>
      <c r="C1972" s="181"/>
      <c r="D1972" s="310" t="s">
        <v>2565</v>
      </c>
      <c r="E1972" s="188"/>
    </row>
    <row r="1973" spans="1:5" ht="15.75">
      <c r="A1973" s="126"/>
      <c r="B1973" s="130" t="s">
        <v>1441</v>
      </c>
      <c r="C1973" s="181" t="s">
        <v>1030</v>
      </c>
      <c r="D1973" s="310"/>
      <c r="E1973" s="188">
        <v>4292643</v>
      </c>
    </row>
    <row r="1974" spans="1:5" ht="15.75">
      <c r="A1974" s="126"/>
      <c r="B1974" s="130" t="s">
        <v>1442</v>
      </c>
      <c r="C1974" s="181" t="s">
        <v>1030</v>
      </c>
      <c r="D1974" s="310"/>
      <c r="E1974" s="188">
        <v>4631929</v>
      </c>
    </row>
    <row r="1975" spans="1:5" ht="15.75">
      <c r="A1975" s="126"/>
      <c r="B1975" s="130" t="s">
        <v>1443</v>
      </c>
      <c r="C1975" s="181" t="s">
        <v>1030</v>
      </c>
      <c r="D1975" s="310"/>
      <c r="E1975" s="188">
        <v>5150357</v>
      </c>
    </row>
    <row r="1976" spans="1:5" ht="15.75">
      <c r="A1976" s="126"/>
      <c r="B1976" s="130" t="s">
        <v>1444</v>
      </c>
      <c r="C1976" s="181" t="s">
        <v>1030</v>
      </c>
      <c r="D1976" s="310"/>
      <c r="E1976" s="188">
        <v>4869700</v>
      </c>
    </row>
    <row r="1977" spans="1:5" ht="15.75">
      <c r="A1977" s="126"/>
      <c r="B1977" s="130" t="s">
        <v>1445</v>
      </c>
      <c r="C1977" s="181" t="s">
        <v>1030</v>
      </c>
      <c r="D1977" s="310"/>
      <c r="E1977" s="188">
        <v>5799750</v>
      </c>
    </row>
    <row r="1978" spans="1:5" ht="15.75">
      <c r="A1978" s="126"/>
      <c r="B1978" s="130" t="s">
        <v>1446</v>
      </c>
      <c r="C1978" s="181" t="s">
        <v>1030</v>
      </c>
      <c r="D1978" s="310"/>
      <c r="E1978" s="188">
        <v>6800100</v>
      </c>
    </row>
    <row r="1979" spans="1:5" ht="16.5" customHeight="1">
      <c r="A1979" s="126" t="s">
        <v>380</v>
      </c>
      <c r="B1979" s="127" t="s">
        <v>1447</v>
      </c>
      <c r="C1979" s="181"/>
      <c r="D1979" s="310" t="s">
        <v>2410</v>
      </c>
      <c r="E1979" s="188"/>
    </row>
    <row r="1980" spans="1:5" ht="15.75">
      <c r="A1980" s="126"/>
      <c r="B1980" s="130" t="s">
        <v>1448</v>
      </c>
      <c r="C1980" s="181" t="s">
        <v>1030</v>
      </c>
      <c r="D1980" s="310"/>
      <c r="E1980" s="188">
        <v>1500000</v>
      </c>
    </row>
    <row r="1981" spans="1:5" ht="15.75">
      <c r="A1981" s="126"/>
      <c r="B1981" s="130" t="s">
        <v>1449</v>
      </c>
      <c r="C1981" s="181" t="s">
        <v>1030</v>
      </c>
      <c r="D1981" s="310"/>
      <c r="E1981" s="188">
        <v>1583000</v>
      </c>
    </row>
    <row r="1982" spans="1:5" ht="15.75">
      <c r="A1982" s="126"/>
      <c r="B1982" s="130" t="s">
        <v>1450</v>
      </c>
      <c r="C1982" s="181" t="s">
        <v>1030</v>
      </c>
      <c r="D1982" s="310"/>
      <c r="E1982" s="188">
        <v>1550000</v>
      </c>
    </row>
    <row r="1983" spans="1:5" ht="15.75">
      <c r="A1983" s="126"/>
      <c r="B1983" s="130" t="s">
        <v>1451</v>
      </c>
      <c r="C1983" s="181" t="s">
        <v>1030</v>
      </c>
      <c r="D1983" s="310"/>
      <c r="E1983" s="188">
        <v>1740000</v>
      </c>
    </row>
    <row r="1984" spans="1:5" ht="15.75">
      <c r="A1984" s="126"/>
      <c r="B1984" s="130" t="s">
        <v>1452</v>
      </c>
      <c r="C1984" s="181" t="s">
        <v>1030</v>
      </c>
      <c r="D1984" s="310"/>
      <c r="E1984" s="188">
        <v>1927000</v>
      </c>
    </row>
    <row r="1985" spans="1:5" ht="15.75">
      <c r="A1985" s="126"/>
      <c r="B1985" s="130" t="s">
        <v>1453</v>
      </c>
      <c r="C1985" s="181" t="s">
        <v>1030</v>
      </c>
      <c r="D1985" s="310"/>
      <c r="E1985" s="188">
        <v>1950000</v>
      </c>
    </row>
    <row r="1986" spans="1:5" ht="16.5" customHeight="1">
      <c r="A1986" s="126" t="s">
        <v>380</v>
      </c>
      <c r="B1986" s="199" t="s">
        <v>1454</v>
      </c>
      <c r="C1986" s="181"/>
      <c r="D1986" s="310" t="s">
        <v>2410</v>
      </c>
      <c r="E1986" s="188"/>
    </row>
    <row r="1987" spans="1:5" ht="15.75">
      <c r="A1987" s="126"/>
      <c r="B1987" s="130" t="s">
        <v>1455</v>
      </c>
      <c r="C1987" s="181" t="s">
        <v>1387</v>
      </c>
      <c r="D1987" s="310"/>
      <c r="E1987" s="188">
        <v>2050000</v>
      </c>
    </row>
    <row r="1988" spans="1:5" ht="15.75">
      <c r="A1988" s="126"/>
      <c r="B1988" s="130" t="s">
        <v>1456</v>
      </c>
      <c r="C1988" s="181" t="s">
        <v>1387</v>
      </c>
      <c r="D1988" s="310"/>
      <c r="E1988" s="188">
        <v>5550000</v>
      </c>
    </row>
    <row r="1989" spans="1:5" ht="15.75">
      <c r="A1989" s="126"/>
      <c r="B1989" s="130" t="s">
        <v>1457</v>
      </c>
      <c r="C1989" s="181" t="s">
        <v>1387</v>
      </c>
      <c r="D1989" s="310"/>
      <c r="E1989" s="188">
        <v>1800000</v>
      </c>
    </row>
    <row r="1990" spans="1:5" ht="15.75">
      <c r="A1990" s="126"/>
      <c r="B1990" s="130" t="s">
        <v>1458</v>
      </c>
      <c r="C1990" s="181" t="s">
        <v>1387</v>
      </c>
      <c r="D1990" s="310"/>
      <c r="E1990" s="188">
        <v>1870000</v>
      </c>
    </row>
    <row r="1991" spans="1:5" ht="15" customHeight="1">
      <c r="A1991" s="126" t="s">
        <v>380</v>
      </c>
      <c r="B1991" s="127" t="s">
        <v>1459</v>
      </c>
      <c r="C1991" s="181"/>
      <c r="D1991" s="310" t="s">
        <v>2410</v>
      </c>
      <c r="E1991" s="188"/>
    </row>
    <row r="1992" spans="1:5" ht="15.75">
      <c r="A1992" s="126"/>
      <c r="B1992" s="130" t="s">
        <v>1460</v>
      </c>
      <c r="C1992" s="181" t="s">
        <v>1030</v>
      </c>
      <c r="D1992" s="310"/>
      <c r="E1992" s="188">
        <v>1400000</v>
      </c>
    </row>
    <row r="1993" spans="1:5" ht="18.75" customHeight="1">
      <c r="A1993" s="126"/>
      <c r="B1993" s="130" t="s">
        <v>1461</v>
      </c>
      <c r="C1993" s="181" t="s">
        <v>1030</v>
      </c>
      <c r="D1993" s="310"/>
      <c r="E1993" s="188">
        <v>1503000</v>
      </c>
    </row>
    <row r="1994" spans="1:5" ht="15.75">
      <c r="A1994" s="126" t="s">
        <v>380</v>
      </c>
      <c r="B1994" s="127" t="s">
        <v>1462</v>
      </c>
      <c r="C1994" s="181"/>
      <c r="D1994" s="310" t="s">
        <v>2524</v>
      </c>
      <c r="E1994" s="188"/>
    </row>
    <row r="1995" spans="1:5" ht="15.75">
      <c r="A1995" s="126"/>
      <c r="B1995" s="130" t="s">
        <v>1463</v>
      </c>
      <c r="C1995" s="181" t="s">
        <v>1030</v>
      </c>
      <c r="D1995" s="310"/>
      <c r="E1995" s="188">
        <v>300000</v>
      </c>
    </row>
    <row r="1996" spans="1:5" ht="15.75">
      <c r="A1996" s="126"/>
      <c r="B1996" s="130" t="s">
        <v>1464</v>
      </c>
      <c r="C1996" s="181" t="s">
        <v>1030</v>
      </c>
      <c r="D1996" s="310"/>
      <c r="E1996" s="188">
        <v>550000</v>
      </c>
    </row>
    <row r="1997" spans="1:5" ht="15.75">
      <c r="A1997" s="223" t="s">
        <v>1513</v>
      </c>
      <c r="B1997" s="224" t="s">
        <v>1763</v>
      </c>
      <c r="C1997" s="218"/>
      <c r="D1997" s="310"/>
      <c r="E1997" s="225"/>
    </row>
    <row r="1998" spans="1:5" ht="18.75" customHeight="1">
      <c r="A1998" s="226" t="s">
        <v>380</v>
      </c>
      <c r="B1998" s="214" t="s">
        <v>1764</v>
      </c>
      <c r="C1998" s="218"/>
      <c r="D1998" s="310" t="s">
        <v>2565</v>
      </c>
      <c r="E1998" s="225"/>
    </row>
    <row r="1999" spans="1:5" ht="15.75">
      <c r="A1999" s="216"/>
      <c r="B1999" s="217" t="s">
        <v>1765</v>
      </c>
      <c r="C1999" s="218" t="s">
        <v>393</v>
      </c>
      <c r="D1999" s="310"/>
      <c r="E1999" s="225">
        <v>4656000</v>
      </c>
    </row>
    <row r="2000" spans="1:5" ht="15.75">
      <c r="A2000" s="216"/>
      <c r="B2000" s="217" t="s">
        <v>1766</v>
      </c>
      <c r="C2000" s="218" t="s">
        <v>393</v>
      </c>
      <c r="D2000" s="310"/>
      <c r="E2000" s="225">
        <v>5250000</v>
      </c>
    </row>
    <row r="2001" spans="1:5" ht="18" customHeight="1">
      <c r="A2001" s="216"/>
      <c r="B2001" s="217" t="s">
        <v>1767</v>
      </c>
      <c r="C2001" s="218" t="s">
        <v>393</v>
      </c>
      <c r="D2001" s="310"/>
      <c r="E2001" s="225">
        <v>5800000</v>
      </c>
    </row>
    <row r="2002" spans="1:5" ht="15.75">
      <c r="A2002" s="216"/>
      <c r="B2002" s="217" t="s">
        <v>1768</v>
      </c>
      <c r="C2002" s="218" t="s">
        <v>393</v>
      </c>
      <c r="D2002" s="310"/>
      <c r="E2002" s="225">
        <v>6100000</v>
      </c>
    </row>
    <row r="2003" spans="1:5" ht="15.75">
      <c r="A2003" s="216"/>
      <c r="B2003" s="217" t="s">
        <v>1769</v>
      </c>
      <c r="C2003" s="218" t="s">
        <v>393</v>
      </c>
      <c r="D2003" s="310"/>
      <c r="E2003" s="225">
        <v>7280000</v>
      </c>
    </row>
    <row r="2004" spans="1:5" ht="15.75">
      <c r="A2004" s="216"/>
      <c r="B2004" s="217" t="s">
        <v>1770</v>
      </c>
      <c r="C2004" s="218" t="s">
        <v>393</v>
      </c>
      <c r="D2004" s="310"/>
      <c r="E2004" s="225">
        <v>8100000</v>
      </c>
    </row>
    <row r="2005" spans="1:5" ht="15.75">
      <c r="A2005" s="216"/>
      <c r="B2005" s="217" t="s">
        <v>1771</v>
      </c>
      <c r="C2005" s="218" t="s">
        <v>393</v>
      </c>
      <c r="D2005" s="310"/>
      <c r="E2005" s="225">
        <v>10560000</v>
      </c>
    </row>
    <row r="2006" spans="1:5" ht="15.75">
      <c r="A2006" s="216"/>
      <c r="B2006" s="217" t="s">
        <v>1772</v>
      </c>
      <c r="C2006" s="218" t="s">
        <v>393</v>
      </c>
      <c r="D2006" s="310"/>
      <c r="E2006" s="225">
        <v>12720000</v>
      </c>
    </row>
    <row r="2007" spans="1:5" ht="15.75">
      <c r="A2007" s="216" t="s">
        <v>1762</v>
      </c>
      <c r="B2007" s="224" t="s">
        <v>1949</v>
      </c>
      <c r="C2007" s="218"/>
      <c r="D2007" s="310"/>
      <c r="E2007" s="225"/>
    </row>
    <row r="2008" spans="1:5" ht="15.75">
      <c r="A2008" s="216"/>
      <c r="B2008" s="227" t="s">
        <v>1950</v>
      </c>
      <c r="C2008" s="218"/>
      <c r="D2008" s="310"/>
      <c r="E2008" s="225"/>
    </row>
    <row r="2009" spans="1:5" ht="15.75">
      <c r="A2009" s="216" t="s">
        <v>380</v>
      </c>
      <c r="B2009" s="228" t="s">
        <v>1952</v>
      </c>
      <c r="C2009" s="218"/>
      <c r="D2009" s="310" t="s">
        <v>2372</v>
      </c>
      <c r="E2009" s="225"/>
    </row>
    <row r="2010" spans="1:5" ht="30">
      <c r="A2010" s="216"/>
      <c r="B2010" s="229" t="s">
        <v>1970</v>
      </c>
      <c r="C2010" s="218" t="s">
        <v>1951</v>
      </c>
      <c r="D2010" s="310"/>
      <c r="E2010" s="225">
        <v>24120291</v>
      </c>
    </row>
    <row r="2011" spans="1:5" ht="30">
      <c r="A2011" s="216"/>
      <c r="B2011" s="229" t="s">
        <v>1971</v>
      </c>
      <c r="C2011" s="218" t="s">
        <v>1951</v>
      </c>
      <c r="D2011" s="310"/>
      <c r="E2011" s="225">
        <v>23985440</v>
      </c>
    </row>
    <row r="2012" spans="1:5" ht="30">
      <c r="A2012" s="216"/>
      <c r="B2012" s="229" t="s">
        <v>1972</v>
      </c>
      <c r="C2012" s="218" t="s">
        <v>1951</v>
      </c>
      <c r="D2012" s="310"/>
      <c r="E2012" s="225">
        <v>27372159</v>
      </c>
    </row>
    <row r="2013" spans="1:5" ht="30">
      <c r="A2013" s="216"/>
      <c r="B2013" s="229" t="s">
        <v>1973</v>
      </c>
      <c r="C2013" s="218" t="s">
        <v>1951</v>
      </c>
      <c r="D2013" s="310"/>
      <c r="E2013" s="225">
        <v>27869127</v>
      </c>
    </row>
    <row r="2014" spans="1:5" ht="42.75" customHeight="1">
      <c r="A2014" s="216"/>
      <c r="B2014" s="229" t="s">
        <v>1974</v>
      </c>
      <c r="C2014" s="218" t="s">
        <v>1951</v>
      </c>
      <c r="D2014" s="310"/>
      <c r="E2014" s="225">
        <v>34313980</v>
      </c>
    </row>
    <row r="2015" spans="1:5" ht="31.5" customHeight="1">
      <c r="A2015" s="216"/>
      <c r="B2015" s="229" t="s">
        <v>1975</v>
      </c>
      <c r="C2015" s="218" t="s">
        <v>1951</v>
      </c>
      <c r="D2015" s="310"/>
      <c r="E2015" s="225">
        <v>36517856</v>
      </c>
    </row>
    <row r="2016" spans="1:5" ht="29.25" customHeight="1">
      <c r="A2016" s="216"/>
      <c r="B2016" s="229" t="s">
        <v>1976</v>
      </c>
      <c r="C2016" s="218" t="s">
        <v>1951</v>
      </c>
      <c r="D2016" s="310"/>
      <c r="E2016" s="225">
        <v>49301243</v>
      </c>
    </row>
    <row r="2017" spans="1:5" ht="36.75" customHeight="1">
      <c r="A2017" s="216"/>
      <c r="B2017" s="229" t="s">
        <v>1977</v>
      </c>
      <c r="C2017" s="218" t="s">
        <v>1951</v>
      </c>
      <c r="D2017" s="310"/>
      <c r="E2017" s="225">
        <v>49720910</v>
      </c>
    </row>
    <row r="2018" spans="1:5" ht="37.5" customHeight="1">
      <c r="A2018" s="216"/>
      <c r="B2018" s="229" t="s">
        <v>1978</v>
      </c>
      <c r="C2018" s="218" t="s">
        <v>1951</v>
      </c>
      <c r="D2018" s="310"/>
      <c r="E2018" s="225">
        <v>63908346</v>
      </c>
    </row>
    <row r="2019" spans="1:5" ht="30.75" customHeight="1">
      <c r="A2019" s="216"/>
      <c r="B2019" s="229" t="s">
        <v>1979</v>
      </c>
      <c r="C2019" s="218" t="s">
        <v>1951</v>
      </c>
      <c r="D2019" s="310"/>
      <c r="E2019" s="225">
        <v>102417266</v>
      </c>
    </row>
    <row r="2020" spans="1:5" ht="32.25" customHeight="1">
      <c r="A2020" s="216"/>
      <c r="B2020" s="229" t="s">
        <v>1980</v>
      </c>
      <c r="C2020" s="218" t="s">
        <v>1951</v>
      </c>
      <c r="D2020" s="310"/>
      <c r="E2020" s="225">
        <v>108471179</v>
      </c>
    </row>
    <row r="2021" spans="1:5" ht="30" customHeight="1">
      <c r="A2021" s="216"/>
      <c r="B2021" s="229" t="s">
        <v>1981</v>
      </c>
      <c r="C2021" s="218"/>
      <c r="D2021" s="310"/>
      <c r="E2021" s="225">
        <v>123057293</v>
      </c>
    </row>
    <row r="2022" spans="1:5" ht="15.75">
      <c r="A2022" s="216" t="s">
        <v>380</v>
      </c>
      <c r="B2022" s="228" t="s">
        <v>1953</v>
      </c>
      <c r="C2022" s="218"/>
      <c r="D2022" s="310" t="s">
        <v>2372</v>
      </c>
      <c r="E2022" s="225"/>
    </row>
    <row r="2023" spans="1:5" ht="15.75">
      <c r="A2023" s="216"/>
      <c r="B2023" s="217" t="s">
        <v>1954</v>
      </c>
      <c r="C2023" s="218" t="s">
        <v>393</v>
      </c>
      <c r="D2023" s="218"/>
      <c r="E2023" s="225">
        <v>408106767</v>
      </c>
    </row>
    <row r="2024" spans="1:5" ht="15.75">
      <c r="A2024" s="216"/>
      <c r="B2024" s="217" t="s">
        <v>1955</v>
      </c>
      <c r="C2024" s="218" t="s">
        <v>393</v>
      </c>
      <c r="D2024" s="218"/>
      <c r="E2024" s="225">
        <v>517947256</v>
      </c>
    </row>
    <row r="2025" spans="1:5" ht="15.75">
      <c r="A2025" s="216" t="s">
        <v>380</v>
      </c>
      <c r="B2025" s="228" t="s">
        <v>1956</v>
      </c>
      <c r="C2025" s="218"/>
      <c r="D2025" s="310" t="s">
        <v>2372</v>
      </c>
      <c r="E2025" s="225"/>
    </row>
    <row r="2026" spans="1:5" ht="15.75">
      <c r="A2026" s="216"/>
      <c r="B2026" s="217" t="s">
        <v>1957</v>
      </c>
      <c r="C2026" s="218" t="s">
        <v>393</v>
      </c>
      <c r="D2026" s="218"/>
      <c r="E2026" s="225">
        <v>18797462</v>
      </c>
    </row>
    <row r="2027" spans="1:5" ht="15.75">
      <c r="A2027" s="216"/>
      <c r="B2027" s="217" t="s">
        <v>1958</v>
      </c>
      <c r="C2027" s="218"/>
      <c r="D2027" s="218"/>
      <c r="E2027" s="225">
        <v>19361466</v>
      </c>
    </row>
    <row r="2028" spans="1:5" ht="18" customHeight="1">
      <c r="A2028" s="357" t="s">
        <v>2822</v>
      </c>
      <c r="B2028" s="358" t="s">
        <v>2823</v>
      </c>
      <c r="C2028" s="359"/>
      <c r="D2028" s="359"/>
      <c r="E2028" s="360"/>
    </row>
    <row r="2029" spans="1:5" ht="18" customHeight="1">
      <c r="A2029" s="357"/>
      <c r="B2029" s="361" t="s">
        <v>2839</v>
      </c>
      <c r="C2029" s="359"/>
      <c r="D2029" s="359"/>
      <c r="E2029" s="360"/>
    </row>
    <row r="2030" spans="1:5" ht="18" customHeight="1">
      <c r="A2030" s="357"/>
      <c r="B2030" s="361" t="s">
        <v>2824</v>
      </c>
      <c r="C2030" s="359"/>
      <c r="D2030" s="359"/>
      <c r="E2030" s="360"/>
    </row>
    <row r="2031" spans="1:5" ht="38.25" customHeight="1">
      <c r="A2031" s="357"/>
      <c r="B2031" s="362" t="s">
        <v>2836</v>
      </c>
      <c r="C2031" s="359" t="s">
        <v>1951</v>
      </c>
      <c r="D2031" s="359" t="s">
        <v>2829</v>
      </c>
      <c r="E2031" s="360">
        <v>18870454.545454543</v>
      </c>
    </row>
    <row r="2032" spans="1:5" ht="33.75" customHeight="1">
      <c r="A2032" s="357"/>
      <c r="B2032" s="362" t="s">
        <v>2835</v>
      </c>
      <c r="C2032" s="359" t="s">
        <v>1951</v>
      </c>
      <c r="D2032" s="359" t="s">
        <v>2830</v>
      </c>
      <c r="E2032" s="360">
        <v>17132386.363636363</v>
      </c>
    </row>
    <row r="2033" spans="1:5" ht="29.25" customHeight="1">
      <c r="A2033" s="357"/>
      <c r="B2033" s="362" t="s">
        <v>2825</v>
      </c>
      <c r="C2033" s="359" t="s">
        <v>1030</v>
      </c>
      <c r="D2033" s="359" t="s">
        <v>2831</v>
      </c>
      <c r="E2033" s="360">
        <v>60584090.90909091</v>
      </c>
    </row>
    <row r="2034" spans="1:5" ht="18" customHeight="1">
      <c r="A2034" s="357"/>
      <c r="B2034" s="362" t="s">
        <v>2826</v>
      </c>
      <c r="C2034" s="359" t="s">
        <v>1030</v>
      </c>
      <c r="D2034" s="359" t="s">
        <v>2832</v>
      </c>
      <c r="E2034" s="360">
        <v>5065227.2727272725</v>
      </c>
    </row>
    <row r="2035" spans="1:5" ht="18" customHeight="1">
      <c r="A2035" s="357"/>
      <c r="B2035" s="362" t="s">
        <v>2827</v>
      </c>
      <c r="C2035" s="359" t="s">
        <v>1030</v>
      </c>
      <c r="D2035" s="359" t="s">
        <v>2833</v>
      </c>
      <c r="E2035" s="360">
        <v>3674772.727272727</v>
      </c>
    </row>
    <row r="2036" spans="1:5" ht="30" customHeight="1">
      <c r="A2036" s="357"/>
      <c r="B2036" s="362" t="s">
        <v>2828</v>
      </c>
      <c r="C2036" s="359" t="s">
        <v>1030</v>
      </c>
      <c r="D2036" s="359" t="s">
        <v>2834</v>
      </c>
      <c r="E2036" s="360">
        <v>4568636.363636363</v>
      </c>
    </row>
    <row r="2037" spans="1:5" ht="24" customHeight="1">
      <c r="A2037" s="363" t="s">
        <v>2837</v>
      </c>
      <c r="B2037" s="229" t="s">
        <v>2838</v>
      </c>
      <c r="C2037" s="359"/>
      <c r="D2037" s="359"/>
      <c r="E2037" s="360"/>
    </row>
    <row r="2038" spans="1:5" ht="27" customHeight="1">
      <c r="A2038" s="357"/>
      <c r="B2038" s="364" t="s">
        <v>2840</v>
      </c>
      <c r="C2038" s="359"/>
      <c r="D2038" s="359"/>
      <c r="E2038" s="360"/>
    </row>
    <row r="2039" spans="1:5" ht="27.75" customHeight="1">
      <c r="A2039" s="357"/>
      <c r="B2039" s="364" t="s">
        <v>972</v>
      </c>
      <c r="C2039" s="359"/>
      <c r="D2039" s="359"/>
      <c r="E2039" s="360"/>
    </row>
    <row r="2040" spans="1:5" ht="18" customHeight="1">
      <c r="A2040" s="368" t="s">
        <v>380</v>
      </c>
      <c r="B2040" s="369" t="s">
        <v>2844</v>
      </c>
      <c r="C2040" s="359"/>
      <c r="D2040" s="359"/>
      <c r="E2040" s="365"/>
    </row>
    <row r="2041" spans="1:5" ht="18" customHeight="1">
      <c r="A2041" s="368"/>
      <c r="B2041" s="362" t="s">
        <v>2845</v>
      </c>
      <c r="C2041" s="359" t="s">
        <v>1142</v>
      </c>
      <c r="D2041" s="464" t="s">
        <v>2846</v>
      </c>
      <c r="E2041" s="360" t="s">
        <v>2847</v>
      </c>
    </row>
    <row r="2042" spans="1:5" ht="18" customHeight="1">
      <c r="A2042" s="368"/>
      <c r="B2042" s="362" t="s">
        <v>2848</v>
      </c>
      <c r="C2042" s="359" t="s">
        <v>1142</v>
      </c>
      <c r="D2042" s="465"/>
      <c r="E2042" s="360" t="s">
        <v>2849</v>
      </c>
    </row>
    <row r="2043" spans="1:5" ht="18" customHeight="1">
      <c r="A2043" s="368"/>
      <c r="B2043" s="362" t="s">
        <v>2850</v>
      </c>
      <c r="C2043" s="359" t="s">
        <v>1142</v>
      </c>
      <c r="D2043" s="465"/>
      <c r="E2043" s="360" t="s">
        <v>2851</v>
      </c>
    </row>
    <row r="2044" spans="1:5" ht="18" customHeight="1">
      <c r="A2044" s="368"/>
      <c r="B2044" s="362" t="s">
        <v>2852</v>
      </c>
      <c r="C2044" s="359" t="s">
        <v>1142</v>
      </c>
      <c r="D2044" s="465"/>
      <c r="E2044" s="360" t="s">
        <v>2853</v>
      </c>
    </row>
    <row r="2045" spans="1:5" ht="18" customHeight="1">
      <c r="A2045" s="368"/>
      <c r="B2045" s="362" t="s">
        <v>2854</v>
      </c>
      <c r="C2045" s="359" t="s">
        <v>1142</v>
      </c>
      <c r="D2045" s="465"/>
      <c r="E2045" s="360" t="s">
        <v>2855</v>
      </c>
    </row>
    <row r="2046" spans="1:5" ht="18" customHeight="1">
      <c r="A2046" s="368"/>
      <c r="B2046" s="362" t="s">
        <v>2856</v>
      </c>
      <c r="C2046" s="359" t="s">
        <v>1142</v>
      </c>
      <c r="D2046" s="465"/>
      <c r="E2046" s="360" t="s">
        <v>2857</v>
      </c>
    </row>
    <row r="2047" spans="1:5" ht="18" customHeight="1">
      <c r="A2047" s="368"/>
      <c r="B2047" s="362" t="s">
        <v>2858</v>
      </c>
      <c r="C2047" s="359" t="s">
        <v>1142</v>
      </c>
      <c r="D2047" s="465"/>
      <c r="E2047" s="360" t="s">
        <v>2859</v>
      </c>
    </row>
    <row r="2048" spans="1:5" ht="18" customHeight="1">
      <c r="A2048" s="368"/>
      <c r="B2048" s="362" t="s">
        <v>2860</v>
      </c>
      <c r="C2048" s="359" t="s">
        <v>1142</v>
      </c>
      <c r="D2048" s="465"/>
      <c r="E2048" s="366">
        <v>902</v>
      </c>
    </row>
    <row r="2049" spans="1:5" ht="18" customHeight="1">
      <c r="A2049" s="368"/>
      <c r="B2049" s="362" t="s">
        <v>2861</v>
      </c>
      <c r="C2049" s="359" t="s">
        <v>1142</v>
      </c>
      <c r="D2049" s="465"/>
      <c r="E2049" s="360" t="s">
        <v>2862</v>
      </c>
    </row>
    <row r="2050" spans="1:5" ht="18" customHeight="1">
      <c r="A2050" s="368"/>
      <c r="B2050" s="362" t="s">
        <v>2863</v>
      </c>
      <c r="C2050" s="359" t="s">
        <v>1142</v>
      </c>
      <c r="D2050" s="465"/>
      <c r="E2050" s="360" t="s">
        <v>2864</v>
      </c>
    </row>
    <row r="2051" spans="1:5" ht="18" customHeight="1">
      <c r="A2051" s="368"/>
      <c r="B2051" s="362" t="s">
        <v>2865</v>
      </c>
      <c r="C2051" s="359" t="s">
        <v>1142</v>
      </c>
      <c r="D2051" s="465"/>
      <c r="E2051" s="360" t="s">
        <v>2866</v>
      </c>
    </row>
    <row r="2052" spans="1:5" ht="18" customHeight="1">
      <c r="A2052" s="368"/>
      <c r="B2052" s="362" t="s">
        <v>2867</v>
      </c>
      <c r="C2052" s="359" t="s">
        <v>1142</v>
      </c>
      <c r="D2052" s="465"/>
      <c r="E2052" s="360" t="s">
        <v>2868</v>
      </c>
    </row>
    <row r="2053" spans="1:5" ht="18" customHeight="1">
      <c r="A2053" s="368"/>
      <c r="B2053" s="362" t="s">
        <v>2869</v>
      </c>
      <c r="C2053" s="359" t="s">
        <v>1142</v>
      </c>
      <c r="D2053" s="465"/>
      <c r="E2053" s="360" t="s">
        <v>2870</v>
      </c>
    </row>
    <row r="2054" spans="1:5" ht="18" customHeight="1">
      <c r="A2054" s="368"/>
      <c r="B2054" s="362" t="s">
        <v>2871</v>
      </c>
      <c r="C2054" s="359" t="s">
        <v>1142</v>
      </c>
      <c r="D2054" s="465"/>
      <c r="E2054" s="360" t="s">
        <v>2872</v>
      </c>
    </row>
    <row r="2055" spans="1:5" ht="18" customHeight="1">
      <c r="A2055" s="368"/>
      <c r="B2055" s="362" t="s">
        <v>2873</v>
      </c>
      <c r="C2055" s="359" t="s">
        <v>1142</v>
      </c>
      <c r="D2055" s="465"/>
      <c r="E2055" s="360" t="s">
        <v>2874</v>
      </c>
    </row>
    <row r="2056" spans="1:5" ht="18" customHeight="1">
      <c r="A2056" s="368"/>
      <c r="B2056" s="362" t="s">
        <v>2875</v>
      </c>
      <c r="C2056" s="359" t="s">
        <v>1142</v>
      </c>
      <c r="D2056" s="465"/>
      <c r="E2056" s="360" t="s">
        <v>2876</v>
      </c>
    </row>
    <row r="2057" spans="1:5" ht="18" customHeight="1">
      <c r="A2057" s="368"/>
      <c r="B2057" s="362" t="s">
        <v>2877</v>
      </c>
      <c r="C2057" s="359" t="s">
        <v>1142</v>
      </c>
      <c r="D2057" s="465"/>
      <c r="E2057" s="360" t="s">
        <v>2878</v>
      </c>
    </row>
    <row r="2058" spans="1:5" ht="18" customHeight="1">
      <c r="A2058" s="368"/>
      <c r="B2058" s="362" t="s">
        <v>2879</v>
      </c>
      <c r="C2058" s="359" t="s">
        <v>1142</v>
      </c>
      <c r="D2058" s="465"/>
      <c r="E2058" s="360" t="s">
        <v>2880</v>
      </c>
    </row>
    <row r="2059" spans="1:5" ht="18" customHeight="1">
      <c r="A2059" s="368"/>
      <c r="B2059" s="362" t="s">
        <v>2881</v>
      </c>
      <c r="C2059" s="359" t="s">
        <v>1142</v>
      </c>
      <c r="D2059" s="465"/>
      <c r="E2059" s="360" t="s">
        <v>2882</v>
      </c>
    </row>
    <row r="2060" spans="1:5" ht="18" customHeight="1">
      <c r="A2060" s="368"/>
      <c r="B2060" s="362" t="s">
        <v>2883</v>
      </c>
      <c r="C2060" s="359" t="s">
        <v>1142</v>
      </c>
      <c r="D2060" s="465"/>
      <c r="E2060" s="360" t="s">
        <v>2884</v>
      </c>
    </row>
    <row r="2061" spans="1:5" ht="18" customHeight="1">
      <c r="A2061" s="368"/>
      <c r="B2061" s="362" t="s">
        <v>2885</v>
      </c>
      <c r="C2061" s="359" t="s">
        <v>1142</v>
      </c>
      <c r="D2061" s="465"/>
      <c r="E2061" s="360" t="s">
        <v>2886</v>
      </c>
    </row>
    <row r="2062" spans="1:5" ht="18" customHeight="1">
      <c r="A2062" s="368"/>
      <c r="B2062" s="362" t="s">
        <v>2887</v>
      </c>
      <c r="C2062" s="359" t="s">
        <v>1142</v>
      </c>
      <c r="D2062" s="465"/>
      <c r="E2062" s="360" t="s">
        <v>2888</v>
      </c>
    </row>
    <row r="2063" spans="1:5" ht="18" customHeight="1">
      <c r="A2063" s="368"/>
      <c r="B2063" s="362" t="s">
        <v>2889</v>
      </c>
      <c r="C2063" s="359" t="s">
        <v>1142</v>
      </c>
      <c r="D2063" s="465"/>
      <c r="E2063" s="360" t="s">
        <v>2890</v>
      </c>
    </row>
    <row r="2064" spans="1:5" ht="18" customHeight="1">
      <c r="A2064" s="368"/>
      <c r="B2064" s="362" t="s">
        <v>2891</v>
      </c>
      <c r="C2064" s="359" t="s">
        <v>1142</v>
      </c>
      <c r="D2064" s="465"/>
      <c r="E2064" s="360" t="s">
        <v>2874</v>
      </c>
    </row>
    <row r="2065" spans="1:5" ht="18" customHeight="1">
      <c r="A2065" s="368"/>
      <c r="B2065" s="362" t="s">
        <v>2892</v>
      </c>
      <c r="C2065" s="359" t="s">
        <v>1142</v>
      </c>
      <c r="D2065" s="465"/>
      <c r="E2065" s="360" t="s">
        <v>2893</v>
      </c>
    </row>
    <row r="2066" spans="1:5" ht="18" customHeight="1">
      <c r="A2066" s="368"/>
      <c r="B2066" s="362" t="s">
        <v>2894</v>
      </c>
      <c r="C2066" s="359" t="s">
        <v>1142</v>
      </c>
      <c r="D2066" s="465"/>
      <c r="E2066" s="360" t="s">
        <v>2895</v>
      </c>
    </row>
    <row r="2067" spans="1:5" ht="18" customHeight="1">
      <c r="A2067" s="368"/>
      <c r="B2067" s="362" t="s">
        <v>2896</v>
      </c>
      <c r="C2067" s="359" t="s">
        <v>1142</v>
      </c>
      <c r="D2067" s="465"/>
      <c r="E2067" s="360" t="s">
        <v>2897</v>
      </c>
    </row>
    <row r="2068" spans="1:5" ht="18" customHeight="1">
      <c r="A2068" s="368"/>
      <c r="B2068" s="362" t="s">
        <v>2898</v>
      </c>
      <c r="C2068" s="359" t="s">
        <v>1142</v>
      </c>
      <c r="D2068" s="465"/>
      <c r="E2068" s="360" t="s">
        <v>2899</v>
      </c>
    </row>
    <row r="2069" spans="1:5" ht="18" customHeight="1">
      <c r="A2069" s="368"/>
      <c r="B2069" s="362" t="s">
        <v>2900</v>
      </c>
      <c r="C2069" s="359" t="s">
        <v>1142</v>
      </c>
      <c r="D2069" s="465"/>
      <c r="E2069" s="360" t="s">
        <v>2901</v>
      </c>
    </row>
    <row r="2070" spans="1:5" ht="18" customHeight="1">
      <c r="A2070" s="368"/>
      <c r="B2070" s="362" t="s">
        <v>2902</v>
      </c>
      <c r="C2070" s="359" t="s">
        <v>1142</v>
      </c>
      <c r="D2070" s="465"/>
      <c r="E2070" s="360" t="s">
        <v>2903</v>
      </c>
    </row>
    <row r="2071" spans="1:5" ht="18" customHeight="1">
      <c r="A2071" s="368"/>
      <c r="B2071" s="362" t="s">
        <v>2904</v>
      </c>
      <c r="C2071" s="359" t="s">
        <v>1142</v>
      </c>
      <c r="D2071" s="465"/>
      <c r="E2071" s="360" t="s">
        <v>2905</v>
      </c>
    </row>
    <row r="2072" spans="1:5" ht="18" customHeight="1">
      <c r="A2072" s="368"/>
      <c r="B2072" s="362" t="s">
        <v>2900</v>
      </c>
      <c r="C2072" s="359" t="s">
        <v>1142</v>
      </c>
      <c r="D2072" s="465"/>
      <c r="E2072" s="360" t="s">
        <v>2906</v>
      </c>
    </row>
    <row r="2073" spans="1:5" ht="18" customHeight="1">
      <c r="A2073" s="368"/>
      <c r="B2073" s="362" t="s">
        <v>2907</v>
      </c>
      <c r="C2073" s="359" t="s">
        <v>1142</v>
      </c>
      <c r="D2073" s="465"/>
      <c r="E2073" s="360" t="s">
        <v>2908</v>
      </c>
    </row>
    <row r="2074" spans="1:5" ht="18" customHeight="1">
      <c r="A2074" s="368"/>
      <c r="B2074" s="362" t="s">
        <v>2909</v>
      </c>
      <c r="C2074" s="359" t="s">
        <v>1142</v>
      </c>
      <c r="D2074" s="465"/>
      <c r="E2074" s="360" t="s">
        <v>2910</v>
      </c>
    </row>
    <row r="2075" spans="1:5" ht="18" customHeight="1">
      <c r="A2075" s="368"/>
      <c r="B2075" s="362" t="s">
        <v>2911</v>
      </c>
      <c r="C2075" s="359" t="s">
        <v>1142</v>
      </c>
      <c r="D2075" s="465"/>
      <c r="E2075" s="360" t="s">
        <v>2912</v>
      </c>
    </row>
    <row r="2076" spans="1:5" ht="18" customHeight="1">
      <c r="A2076" s="368"/>
      <c r="B2076" s="362" t="s">
        <v>2913</v>
      </c>
      <c r="C2076" s="359" t="s">
        <v>1142</v>
      </c>
      <c r="D2076" s="465"/>
      <c r="E2076" s="360" t="s">
        <v>2914</v>
      </c>
    </row>
    <row r="2077" spans="1:5" ht="18" customHeight="1">
      <c r="A2077" s="368"/>
      <c r="B2077" s="362" t="s">
        <v>2915</v>
      </c>
      <c r="C2077" s="359" t="s">
        <v>1142</v>
      </c>
      <c r="D2077" s="465"/>
      <c r="E2077" s="360" t="s">
        <v>2916</v>
      </c>
    </row>
    <row r="2078" spans="1:5" ht="18" customHeight="1">
      <c r="A2078" s="368"/>
      <c r="B2078" s="362" t="s">
        <v>2917</v>
      </c>
      <c r="C2078" s="359" t="s">
        <v>1142</v>
      </c>
      <c r="D2078" s="465"/>
      <c r="E2078" s="360" t="s">
        <v>2918</v>
      </c>
    </row>
    <row r="2079" spans="1:5" ht="18" customHeight="1">
      <c r="A2079" s="368"/>
      <c r="B2079" s="362" t="s">
        <v>2919</v>
      </c>
      <c r="C2079" s="359" t="s">
        <v>1142</v>
      </c>
      <c r="D2079" s="465"/>
      <c r="E2079" s="360" t="s">
        <v>2859</v>
      </c>
    </row>
    <row r="2080" spans="1:5" ht="18" customHeight="1">
      <c r="A2080" s="368"/>
      <c r="B2080" s="362" t="s">
        <v>2920</v>
      </c>
      <c r="C2080" s="359" t="s">
        <v>1142</v>
      </c>
      <c r="D2080" s="465"/>
      <c r="E2080" s="360" t="s">
        <v>2859</v>
      </c>
    </row>
    <row r="2081" spans="1:5" ht="18" customHeight="1">
      <c r="A2081" s="368"/>
      <c r="B2081" s="362" t="s">
        <v>2921</v>
      </c>
      <c r="C2081" s="359" t="s">
        <v>1142</v>
      </c>
      <c r="D2081" s="465"/>
      <c r="E2081" s="360" t="s">
        <v>2922</v>
      </c>
    </row>
    <row r="2082" spans="1:5" ht="18" customHeight="1">
      <c r="A2082" s="368"/>
      <c r="B2082" s="362" t="s">
        <v>2923</v>
      </c>
      <c r="C2082" s="359" t="s">
        <v>1142</v>
      </c>
      <c r="D2082" s="465"/>
      <c r="E2082" s="360" t="s">
        <v>2924</v>
      </c>
    </row>
    <row r="2083" spans="1:5" ht="18" customHeight="1">
      <c r="A2083" s="368"/>
      <c r="B2083" s="362" t="s">
        <v>2925</v>
      </c>
      <c r="C2083" s="359" t="s">
        <v>1142</v>
      </c>
      <c r="D2083" s="465"/>
      <c r="E2083" s="360" t="s">
        <v>2926</v>
      </c>
    </row>
    <row r="2084" spans="1:5" ht="18" customHeight="1">
      <c r="A2084" s="368"/>
      <c r="B2084" s="362" t="s">
        <v>2927</v>
      </c>
      <c r="C2084" s="359" t="s">
        <v>1142</v>
      </c>
      <c r="D2084" s="465"/>
      <c r="E2084" s="360" t="s">
        <v>2928</v>
      </c>
    </row>
    <row r="2085" spans="1:5" ht="18" customHeight="1">
      <c r="A2085" s="368"/>
      <c r="B2085" s="362" t="s">
        <v>2929</v>
      </c>
      <c r="C2085" s="359" t="s">
        <v>1142</v>
      </c>
      <c r="D2085" s="465"/>
      <c r="E2085" s="360" t="s">
        <v>2930</v>
      </c>
    </row>
    <row r="2086" spans="1:5" ht="18" customHeight="1">
      <c r="A2086" s="368"/>
      <c r="B2086" s="362" t="s">
        <v>2931</v>
      </c>
      <c r="C2086" s="359" t="s">
        <v>1142</v>
      </c>
      <c r="D2086" s="465"/>
      <c r="E2086" s="360" t="s">
        <v>2932</v>
      </c>
    </row>
    <row r="2087" spans="1:5" ht="18" customHeight="1">
      <c r="A2087" s="368"/>
      <c r="B2087" s="362" t="s">
        <v>2933</v>
      </c>
      <c r="C2087" s="359" t="s">
        <v>1142</v>
      </c>
      <c r="D2087" s="465"/>
      <c r="E2087" s="360" t="s">
        <v>2934</v>
      </c>
    </row>
    <row r="2088" spans="1:5" ht="18" customHeight="1">
      <c r="A2088" s="368"/>
      <c r="B2088" s="362" t="s">
        <v>2935</v>
      </c>
      <c r="C2088" s="359" t="s">
        <v>1142</v>
      </c>
      <c r="D2088" s="465"/>
      <c r="E2088" s="360" t="s">
        <v>2936</v>
      </c>
    </row>
    <row r="2089" spans="1:5" ht="18" customHeight="1">
      <c r="A2089" s="368"/>
      <c r="B2089" s="362" t="s">
        <v>2937</v>
      </c>
      <c r="C2089" s="359" t="s">
        <v>1142</v>
      </c>
      <c r="D2089" s="465"/>
      <c r="E2089" s="360" t="s">
        <v>2938</v>
      </c>
    </row>
    <row r="2090" spans="1:5" ht="18" customHeight="1">
      <c r="A2090" s="368"/>
      <c r="B2090" s="362" t="s">
        <v>2939</v>
      </c>
      <c r="C2090" s="359" t="s">
        <v>1142</v>
      </c>
      <c r="D2090" s="465"/>
      <c r="E2090" s="360" t="s">
        <v>2940</v>
      </c>
    </row>
    <row r="2091" spans="1:5" ht="18" customHeight="1">
      <c r="A2091" s="368"/>
      <c r="B2091" s="362" t="s">
        <v>2941</v>
      </c>
      <c r="C2091" s="359" t="s">
        <v>1142</v>
      </c>
      <c r="D2091" s="465"/>
      <c r="E2091" s="360" t="s">
        <v>2942</v>
      </c>
    </row>
    <row r="2092" spans="1:5" ht="18" customHeight="1">
      <c r="A2092" s="368"/>
      <c r="B2092" s="362" t="s">
        <v>2943</v>
      </c>
      <c r="C2092" s="359" t="s">
        <v>1142</v>
      </c>
      <c r="D2092" s="465"/>
      <c r="E2092" s="360" t="s">
        <v>2944</v>
      </c>
    </row>
    <row r="2093" spans="1:5" ht="18" customHeight="1">
      <c r="A2093" s="368"/>
      <c r="B2093" s="362" t="s">
        <v>2945</v>
      </c>
      <c r="C2093" s="359" t="s">
        <v>1142</v>
      </c>
      <c r="D2093" s="465"/>
      <c r="E2093" s="360" t="s">
        <v>2946</v>
      </c>
    </row>
    <row r="2094" spans="1:5" ht="18" customHeight="1">
      <c r="A2094" s="368"/>
      <c r="B2094" s="362" t="s">
        <v>2947</v>
      </c>
      <c r="C2094" s="359" t="s">
        <v>1142</v>
      </c>
      <c r="D2094" s="465"/>
      <c r="E2094" s="360" t="s">
        <v>2948</v>
      </c>
    </row>
    <row r="2095" spans="1:5" ht="18" customHeight="1">
      <c r="A2095" s="368"/>
      <c r="B2095" s="362" t="s">
        <v>2943</v>
      </c>
      <c r="C2095" s="359" t="s">
        <v>1142</v>
      </c>
      <c r="D2095" s="465"/>
      <c r="E2095" s="360" t="s">
        <v>2949</v>
      </c>
    </row>
    <row r="2096" spans="1:5" ht="18" customHeight="1">
      <c r="A2096" s="368"/>
      <c r="B2096" s="362" t="s">
        <v>2950</v>
      </c>
      <c r="C2096" s="359" t="s">
        <v>1142</v>
      </c>
      <c r="D2096" s="465"/>
      <c r="E2096" s="360" t="s">
        <v>2951</v>
      </c>
    </row>
    <row r="2097" spans="1:5" ht="18" customHeight="1">
      <c r="A2097" s="368"/>
      <c r="B2097" s="362" t="s">
        <v>2952</v>
      </c>
      <c r="C2097" s="359" t="s">
        <v>1142</v>
      </c>
      <c r="D2097" s="466"/>
      <c r="E2097" s="360" t="s">
        <v>2953</v>
      </c>
    </row>
    <row r="2098" spans="1:5" ht="19.5" customHeight="1">
      <c r="A2098" s="368" t="s">
        <v>380</v>
      </c>
      <c r="B2098" s="369" t="s">
        <v>3194</v>
      </c>
      <c r="C2098" s="359"/>
      <c r="D2098" s="359"/>
      <c r="E2098" s="360"/>
    </row>
    <row r="2099" spans="1:5" ht="18" customHeight="1">
      <c r="A2099" s="368"/>
      <c r="B2099" s="362" t="s">
        <v>3195</v>
      </c>
      <c r="C2099" s="359" t="s">
        <v>1142</v>
      </c>
      <c r="D2099" s="464" t="s">
        <v>2960</v>
      </c>
      <c r="E2099" s="366">
        <v>300</v>
      </c>
    </row>
    <row r="2100" spans="1:5" ht="18" customHeight="1">
      <c r="A2100" s="368"/>
      <c r="B2100" s="362" t="s">
        <v>3196</v>
      </c>
      <c r="C2100" s="359" t="s">
        <v>1142</v>
      </c>
      <c r="D2100" s="465"/>
      <c r="E2100" s="366">
        <v>325</v>
      </c>
    </row>
    <row r="2101" spans="1:5" ht="18" customHeight="1">
      <c r="A2101" s="368"/>
      <c r="B2101" s="362" t="s">
        <v>3197</v>
      </c>
      <c r="C2101" s="359" t="s">
        <v>1142</v>
      </c>
      <c r="D2101" s="465"/>
      <c r="E2101" s="366">
        <v>343</v>
      </c>
    </row>
    <row r="2102" spans="1:5" ht="18" customHeight="1">
      <c r="A2102" s="368"/>
      <c r="B2102" s="362" t="s">
        <v>3198</v>
      </c>
      <c r="C2102" s="359" t="s">
        <v>1142</v>
      </c>
      <c r="D2102" s="465"/>
      <c r="E2102" s="366">
        <v>500</v>
      </c>
    </row>
    <row r="2103" spans="1:5" ht="18" customHeight="1">
      <c r="A2103" s="368"/>
      <c r="B2103" s="362" t="s">
        <v>3199</v>
      </c>
      <c r="C2103" s="359" t="s">
        <v>1142</v>
      </c>
      <c r="D2103" s="465"/>
      <c r="E2103" s="366" t="s">
        <v>2954</v>
      </c>
    </row>
    <row r="2104" spans="1:5" ht="27.75" customHeight="1">
      <c r="A2104" s="368"/>
      <c r="B2104" s="362" t="s">
        <v>3200</v>
      </c>
      <c r="C2104" s="359" t="s">
        <v>1142</v>
      </c>
      <c r="D2104" s="465"/>
      <c r="E2104" s="366" t="s">
        <v>2955</v>
      </c>
    </row>
    <row r="2105" spans="1:5" ht="27.75" customHeight="1">
      <c r="A2105" s="368"/>
      <c r="B2105" s="362" t="s">
        <v>3201</v>
      </c>
      <c r="C2105" s="359" t="s">
        <v>1142</v>
      </c>
      <c r="D2105" s="465"/>
      <c r="E2105" s="366" t="s">
        <v>2956</v>
      </c>
    </row>
    <row r="2106" spans="1:5" ht="27.75" customHeight="1">
      <c r="A2106" s="368"/>
      <c r="B2106" s="362" t="s">
        <v>3202</v>
      </c>
      <c r="C2106" s="359" t="s">
        <v>1142</v>
      </c>
      <c r="D2106" s="466"/>
      <c r="E2106" s="366" t="s">
        <v>2957</v>
      </c>
    </row>
    <row r="2107" spans="1:5" ht="18" customHeight="1">
      <c r="A2107" s="368" t="s">
        <v>380</v>
      </c>
      <c r="B2107" s="369" t="s">
        <v>2958</v>
      </c>
      <c r="C2107" s="359"/>
      <c r="D2107" s="359"/>
      <c r="E2107" s="360"/>
    </row>
    <row r="2108" spans="1:5" ht="18" customHeight="1">
      <c r="A2108" s="368"/>
      <c r="B2108" s="362" t="s">
        <v>2959</v>
      </c>
      <c r="C2108" s="359" t="s">
        <v>1142</v>
      </c>
      <c r="D2108" s="464" t="s">
        <v>2960</v>
      </c>
      <c r="E2108" s="360" t="s">
        <v>2961</v>
      </c>
    </row>
    <row r="2109" spans="1:5" ht="18" customHeight="1">
      <c r="A2109" s="368"/>
      <c r="B2109" s="362" t="s">
        <v>2962</v>
      </c>
      <c r="C2109" s="359" t="s">
        <v>1142</v>
      </c>
      <c r="D2109" s="465"/>
      <c r="E2109" s="360" t="s">
        <v>2963</v>
      </c>
    </row>
    <row r="2110" spans="1:5" ht="18" customHeight="1">
      <c r="A2110" s="368"/>
      <c r="B2110" s="362" t="s">
        <v>2964</v>
      </c>
      <c r="C2110" s="359" t="s">
        <v>1142</v>
      </c>
      <c r="D2110" s="465"/>
      <c r="E2110" s="360" t="s">
        <v>2965</v>
      </c>
    </row>
    <row r="2111" spans="1:5" ht="18" customHeight="1">
      <c r="A2111" s="368"/>
      <c r="B2111" s="362" t="s">
        <v>2966</v>
      </c>
      <c r="C2111" s="359" t="s">
        <v>1142</v>
      </c>
      <c r="D2111" s="465"/>
      <c r="E2111" s="360" t="s">
        <v>2967</v>
      </c>
    </row>
    <row r="2112" spans="1:5" ht="18" customHeight="1">
      <c r="A2112" s="368"/>
      <c r="B2112" s="362" t="s">
        <v>2968</v>
      </c>
      <c r="C2112" s="359" t="s">
        <v>1142</v>
      </c>
      <c r="D2112" s="465"/>
      <c r="E2112" s="360" t="s">
        <v>2969</v>
      </c>
    </row>
    <row r="2113" spans="1:5" ht="18" customHeight="1">
      <c r="A2113" s="368"/>
      <c r="B2113" s="362" t="s">
        <v>2970</v>
      </c>
      <c r="C2113" s="359" t="s">
        <v>1142</v>
      </c>
      <c r="D2113" s="465"/>
      <c r="E2113" s="360" t="s">
        <v>2971</v>
      </c>
    </row>
    <row r="2114" spans="1:5" ht="18" customHeight="1">
      <c r="A2114" s="368"/>
      <c r="B2114" s="362" t="s">
        <v>2972</v>
      </c>
      <c r="C2114" s="359" t="s">
        <v>1142</v>
      </c>
      <c r="D2114" s="465"/>
      <c r="E2114" s="360" t="s">
        <v>2973</v>
      </c>
    </row>
    <row r="2115" spans="1:5" ht="18" customHeight="1">
      <c r="A2115" s="368"/>
      <c r="B2115" s="362" t="s">
        <v>2974</v>
      </c>
      <c r="C2115" s="359" t="s">
        <v>1142</v>
      </c>
      <c r="D2115" s="465"/>
      <c r="E2115" s="360" t="s">
        <v>2975</v>
      </c>
    </row>
    <row r="2116" spans="1:5" ht="18" customHeight="1">
      <c r="A2116" s="368"/>
      <c r="B2116" s="362" t="s">
        <v>2976</v>
      </c>
      <c r="C2116" s="359" t="s">
        <v>1142</v>
      </c>
      <c r="D2116" s="465"/>
      <c r="E2116" s="360" t="s">
        <v>2977</v>
      </c>
    </row>
    <row r="2117" spans="1:5" ht="18" customHeight="1">
      <c r="A2117" s="368"/>
      <c r="B2117" s="362" t="s">
        <v>2978</v>
      </c>
      <c r="C2117" s="359" t="s">
        <v>1142</v>
      </c>
      <c r="D2117" s="465"/>
      <c r="E2117" s="360" t="s">
        <v>2979</v>
      </c>
    </row>
    <row r="2118" spans="1:5" ht="18" customHeight="1">
      <c r="A2118" s="368"/>
      <c r="B2118" s="362" t="s">
        <v>2980</v>
      </c>
      <c r="C2118" s="359" t="s">
        <v>1142</v>
      </c>
      <c r="D2118" s="465"/>
      <c r="E2118" s="360" t="s">
        <v>2981</v>
      </c>
    </row>
    <row r="2119" spans="1:5" ht="18" customHeight="1">
      <c r="A2119" s="368"/>
      <c r="B2119" s="362" t="s">
        <v>2982</v>
      </c>
      <c r="C2119" s="359" t="s">
        <v>1142</v>
      </c>
      <c r="D2119" s="465"/>
      <c r="E2119" s="360" t="s">
        <v>2983</v>
      </c>
    </row>
    <row r="2120" spans="1:5" ht="18" customHeight="1">
      <c r="A2120" s="368"/>
      <c r="B2120" s="362" t="s">
        <v>2984</v>
      </c>
      <c r="C2120" s="359" t="s">
        <v>1142</v>
      </c>
      <c r="D2120" s="465"/>
      <c r="E2120" s="360" t="s">
        <v>2985</v>
      </c>
    </row>
    <row r="2121" spans="1:5" ht="18" customHeight="1">
      <c r="A2121" s="368"/>
      <c r="B2121" s="362" t="s">
        <v>2986</v>
      </c>
      <c r="C2121" s="359" t="s">
        <v>1142</v>
      </c>
      <c r="D2121" s="466"/>
      <c r="E2121" s="360" t="s">
        <v>2987</v>
      </c>
    </row>
    <row r="2122" spans="1:5" ht="18" customHeight="1">
      <c r="A2122" s="368" t="s">
        <v>380</v>
      </c>
      <c r="B2122" s="369" t="s">
        <v>1459</v>
      </c>
      <c r="C2122" s="359"/>
      <c r="D2122" s="359"/>
      <c r="E2122" s="360"/>
    </row>
    <row r="2123" spans="1:5" ht="18" customHeight="1">
      <c r="A2123" s="368"/>
      <c r="B2123" s="362" t="s">
        <v>2988</v>
      </c>
      <c r="C2123" s="359" t="s">
        <v>1142</v>
      </c>
      <c r="D2123" s="464" t="s">
        <v>2989</v>
      </c>
      <c r="E2123" s="360" t="s">
        <v>2990</v>
      </c>
    </row>
    <row r="2124" spans="1:5" ht="18" customHeight="1">
      <c r="A2124" s="368"/>
      <c r="B2124" s="362" t="s">
        <v>2991</v>
      </c>
      <c r="C2124" s="359" t="s">
        <v>1142</v>
      </c>
      <c r="D2124" s="465"/>
      <c r="E2124" s="360" t="s">
        <v>2992</v>
      </c>
    </row>
    <row r="2125" spans="1:5" ht="18" customHeight="1">
      <c r="A2125" s="368"/>
      <c r="B2125" s="362" t="s">
        <v>2993</v>
      </c>
      <c r="C2125" s="359" t="s">
        <v>1142</v>
      </c>
      <c r="D2125" s="465"/>
      <c r="E2125" s="360" t="s">
        <v>2994</v>
      </c>
    </row>
    <row r="2126" spans="1:5" ht="18" customHeight="1">
      <c r="A2126" s="368"/>
      <c r="B2126" s="362" t="s">
        <v>2995</v>
      </c>
      <c r="C2126" s="359" t="s">
        <v>1142</v>
      </c>
      <c r="D2126" s="465"/>
      <c r="E2126" s="360" t="s">
        <v>2996</v>
      </c>
    </row>
    <row r="2127" spans="1:5" ht="18" customHeight="1">
      <c r="A2127" s="368"/>
      <c r="B2127" s="362" t="s">
        <v>2997</v>
      </c>
      <c r="C2127" s="359" t="s">
        <v>1142</v>
      </c>
      <c r="D2127" s="465"/>
      <c r="E2127" s="366">
        <v>972</v>
      </c>
    </row>
    <row r="2128" spans="1:5" ht="18" customHeight="1">
      <c r="A2128" s="368"/>
      <c r="B2128" s="362" t="s">
        <v>2998</v>
      </c>
      <c r="C2128" s="359" t="s">
        <v>1142</v>
      </c>
      <c r="D2128" s="465"/>
      <c r="E2128" s="366">
        <v>834</v>
      </c>
    </row>
    <row r="2129" spans="1:5" ht="18" customHeight="1">
      <c r="A2129" s="368"/>
      <c r="B2129" s="362" t="s">
        <v>2999</v>
      </c>
      <c r="C2129" s="359" t="s">
        <v>1142</v>
      </c>
      <c r="D2129" s="465"/>
      <c r="E2129" s="360" t="s">
        <v>3000</v>
      </c>
    </row>
    <row r="2130" spans="1:5" ht="18" customHeight="1">
      <c r="A2130" s="368"/>
      <c r="B2130" s="362" t="s">
        <v>3001</v>
      </c>
      <c r="C2130" s="359" t="s">
        <v>1142</v>
      </c>
      <c r="D2130" s="465"/>
      <c r="E2130" s="360" t="s">
        <v>3002</v>
      </c>
    </row>
    <row r="2131" spans="1:5" ht="18" customHeight="1">
      <c r="A2131" s="368"/>
      <c r="B2131" s="362" t="s">
        <v>3003</v>
      </c>
      <c r="C2131" s="359" t="s">
        <v>1142</v>
      </c>
      <c r="D2131" s="465"/>
      <c r="E2131" s="360" t="s">
        <v>3004</v>
      </c>
    </row>
    <row r="2132" spans="1:5" ht="18" customHeight="1">
      <c r="A2132" s="368"/>
      <c r="B2132" s="362" t="s">
        <v>3005</v>
      </c>
      <c r="C2132" s="359" t="s">
        <v>1142</v>
      </c>
      <c r="D2132" s="465"/>
      <c r="E2132" s="360" t="s">
        <v>3000</v>
      </c>
    </row>
    <row r="2133" spans="1:5" ht="18" customHeight="1">
      <c r="A2133" s="368"/>
      <c r="B2133" s="362" t="s">
        <v>3006</v>
      </c>
      <c r="C2133" s="359" t="s">
        <v>1142</v>
      </c>
      <c r="D2133" s="465"/>
      <c r="E2133" s="360" t="s">
        <v>3007</v>
      </c>
    </row>
    <row r="2134" spans="1:5" ht="18" customHeight="1">
      <c r="A2134" s="368"/>
      <c r="B2134" s="362" t="s">
        <v>3008</v>
      </c>
      <c r="C2134" s="359" t="s">
        <v>1142</v>
      </c>
      <c r="D2134" s="465"/>
      <c r="E2134" s="360" t="s">
        <v>3009</v>
      </c>
    </row>
    <row r="2135" spans="1:5" ht="18" customHeight="1">
      <c r="A2135" s="368"/>
      <c r="B2135" s="362" t="s">
        <v>3010</v>
      </c>
      <c r="C2135" s="359" t="s">
        <v>1142</v>
      </c>
      <c r="D2135" s="465"/>
      <c r="E2135" s="360" t="s">
        <v>3011</v>
      </c>
    </row>
    <row r="2136" spans="1:5" ht="18" customHeight="1">
      <c r="A2136" s="368"/>
      <c r="B2136" s="362" t="s">
        <v>3012</v>
      </c>
      <c r="C2136" s="359" t="s">
        <v>1142</v>
      </c>
      <c r="D2136" s="465"/>
      <c r="E2136" s="360" t="s">
        <v>3013</v>
      </c>
    </row>
    <row r="2137" spans="1:5" ht="18" customHeight="1">
      <c r="A2137" s="368" t="s">
        <v>380</v>
      </c>
      <c r="B2137" s="369" t="s">
        <v>3014</v>
      </c>
      <c r="C2137" s="359"/>
      <c r="D2137" s="367"/>
      <c r="E2137" s="360"/>
    </row>
    <row r="2138" spans="1:5" ht="18" customHeight="1">
      <c r="A2138" s="368"/>
      <c r="B2138" s="362" t="s">
        <v>3015</v>
      </c>
      <c r="C2138" s="359" t="s">
        <v>1142</v>
      </c>
      <c r="D2138" s="464" t="s">
        <v>2960</v>
      </c>
      <c r="E2138" s="360" t="s">
        <v>3016</v>
      </c>
    </row>
    <row r="2139" spans="1:5" ht="18" customHeight="1">
      <c r="A2139" s="368"/>
      <c r="B2139" s="362" t="s">
        <v>3017</v>
      </c>
      <c r="C2139" s="359" t="s">
        <v>1142</v>
      </c>
      <c r="D2139" s="465"/>
      <c r="E2139" s="360" t="s">
        <v>2868</v>
      </c>
    </row>
    <row r="2140" spans="1:5" ht="18" customHeight="1">
      <c r="A2140" s="368"/>
      <c r="B2140" s="362" t="s">
        <v>3018</v>
      </c>
      <c r="C2140" s="359" t="s">
        <v>1142</v>
      </c>
      <c r="D2140" s="465"/>
      <c r="E2140" s="366">
        <v>961</v>
      </c>
    </row>
    <row r="2141" spans="1:5" ht="18" customHeight="1">
      <c r="A2141" s="368"/>
      <c r="B2141" s="362" t="s">
        <v>3019</v>
      </c>
      <c r="C2141" s="359" t="s">
        <v>1142</v>
      </c>
      <c r="D2141" s="465"/>
      <c r="E2141" s="360" t="s">
        <v>3020</v>
      </c>
    </row>
    <row r="2142" spans="1:5" ht="18" customHeight="1">
      <c r="A2142" s="368"/>
      <c r="B2142" s="362" t="s">
        <v>3021</v>
      </c>
      <c r="C2142" s="359" t="s">
        <v>1142</v>
      </c>
      <c r="D2142" s="465"/>
      <c r="E2142" s="366">
        <v>686</v>
      </c>
    </row>
    <row r="2143" spans="1:5" ht="18" customHeight="1">
      <c r="A2143" s="368"/>
      <c r="B2143" s="362" t="s">
        <v>3022</v>
      </c>
      <c r="C2143" s="359" t="s">
        <v>1142</v>
      </c>
      <c r="D2143" s="465"/>
      <c r="E2143" s="360" t="s">
        <v>3023</v>
      </c>
    </row>
    <row r="2144" spans="1:5" ht="18" customHeight="1">
      <c r="A2144" s="368"/>
      <c r="B2144" s="362" t="s">
        <v>3024</v>
      </c>
      <c r="C2144" s="359" t="s">
        <v>1142</v>
      </c>
      <c r="D2144" s="465"/>
      <c r="E2144" s="360" t="s">
        <v>3025</v>
      </c>
    </row>
    <row r="2145" spans="1:5" ht="18" customHeight="1">
      <c r="A2145" s="368"/>
      <c r="B2145" s="362" t="s">
        <v>3026</v>
      </c>
      <c r="C2145" s="359" t="s">
        <v>1142</v>
      </c>
      <c r="D2145" s="465"/>
      <c r="E2145" s="360" t="s">
        <v>3027</v>
      </c>
    </row>
    <row r="2146" spans="1:5" ht="18" customHeight="1">
      <c r="A2146" s="368"/>
      <c r="B2146" s="362" t="s">
        <v>3028</v>
      </c>
      <c r="C2146" s="359" t="s">
        <v>1142</v>
      </c>
      <c r="D2146" s="465"/>
      <c r="E2146" s="360" t="s">
        <v>3029</v>
      </c>
    </row>
    <row r="2147" spans="1:5" ht="18" customHeight="1">
      <c r="A2147" s="368"/>
      <c r="B2147" s="362" t="s">
        <v>3030</v>
      </c>
      <c r="C2147" s="359" t="s">
        <v>1142</v>
      </c>
      <c r="D2147" s="465"/>
      <c r="E2147" s="360" t="s">
        <v>3031</v>
      </c>
    </row>
    <row r="2148" spans="1:5" ht="18" customHeight="1">
      <c r="A2148" s="368"/>
      <c r="B2148" s="362" t="s">
        <v>3032</v>
      </c>
      <c r="C2148" s="359"/>
      <c r="D2148" s="466"/>
      <c r="E2148" s="360"/>
    </row>
    <row r="2149" spans="1:5" ht="18" customHeight="1">
      <c r="A2149" s="368"/>
      <c r="B2149" s="362" t="s">
        <v>3033</v>
      </c>
      <c r="C2149" s="359" t="s">
        <v>1142</v>
      </c>
      <c r="D2149" s="464" t="s">
        <v>2960</v>
      </c>
      <c r="E2149" s="360" t="s">
        <v>2940</v>
      </c>
    </row>
    <row r="2150" spans="1:5" ht="18" customHeight="1">
      <c r="A2150" s="368"/>
      <c r="B2150" s="362" t="s">
        <v>3034</v>
      </c>
      <c r="C2150" s="359" t="s">
        <v>1142</v>
      </c>
      <c r="D2150" s="465"/>
      <c r="E2150" s="360" t="s">
        <v>3035</v>
      </c>
    </row>
    <row r="2151" spans="1:5" ht="18" customHeight="1">
      <c r="A2151" s="368"/>
      <c r="B2151" s="362" t="s">
        <v>3036</v>
      </c>
      <c r="C2151" s="359" t="s">
        <v>1142</v>
      </c>
      <c r="D2151" s="465"/>
      <c r="E2151" s="360" t="s">
        <v>3037</v>
      </c>
    </row>
    <row r="2152" spans="1:5" ht="18" customHeight="1">
      <c r="A2152" s="368"/>
      <c r="B2152" s="362" t="s">
        <v>3038</v>
      </c>
      <c r="C2152" s="359" t="s">
        <v>1142</v>
      </c>
      <c r="D2152" s="465"/>
      <c r="E2152" s="360" t="s">
        <v>3039</v>
      </c>
    </row>
    <row r="2153" spans="1:5" ht="18" customHeight="1">
      <c r="A2153" s="368"/>
      <c r="B2153" s="362" t="s">
        <v>3040</v>
      </c>
      <c r="C2153" s="359" t="s">
        <v>1142</v>
      </c>
      <c r="D2153" s="465"/>
      <c r="E2153" s="360" t="s">
        <v>3041</v>
      </c>
    </row>
    <row r="2154" spans="1:5" ht="18" customHeight="1">
      <c r="A2154" s="368"/>
      <c r="B2154" s="362" t="s">
        <v>3042</v>
      </c>
      <c r="C2154" s="359" t="s">
        <v>1142</v>
      </c>
      <c r="D2154" s="465"/>
      <c r="E2154" s="360" t="s">
        <v>3043</v>
      </c>
    </row>
    <row r="2155" spans="1:5" ht="18" customHeight="1">
      <c r="A2155" s="368"/>
      <c r="B2155" s="362" t="s">
        <v>3044</v>
      </c>
      <c r="C2155" s="359" t="s">
        <v>1142</v>
      </c>
      <c r="D2155" s="465"/>
      <c r="E2155" s="360" t="s">
        <v>3045</v>
      </c>
    </row>
    <row r="2156" spans="1:5" ht="18" customHeight="1">
      <c r="A2156" s="368"/>
      <c r="B2156" s="362" t="s">
        <v>3046</v>
      </c>
      <c r="C2156" s="359" t="s">
        <v>1142</v>
      </c>
      <c r="D2156" s="465"/>
      <c r="E2156" s="360" t="s">
        <v>3047</v>
      </c>
    </row>
    <row r="2157" spans="1:5" ht="18" customHeight="1">
      <c r="A2157" s="368"/>
      <c r="B2157" s="362" t="s">
        <v>3048</v>
      </c>
      <c r="C2157" s="359" t="s">
        <v>1142</v>
      </c>
      <c r="D2157" s="465"/>
      <c r="E2157" s="360" t="s">
        <v>3049</v>
      </c>
    </row>
    <row r="2158" spans="1:5" ht="18" customHeight="1">
      <c r="A2158" s="368"/>
      <c r="B2158" s="362" t="s">
        <v>3050</v>
      </c>
      <c r="C2158" s="359" t="s">
        <v>1142</v>
      </c>
      <c r="D2158" s="465"/>
      <c r="E2158" s="360" t="s">
        <v>3051</v>
      </c>
    </row>
    <row r="2159" spans="1:5" ht="18" customHeight="1">
      <c r="A2159" s="368"/>
      <c r="B2159" s="362" t="s">
        <v>3052</v>
      </c>
      <c r="C2159" s="359" t="s">
        <v>1142</v>
      </c>
      <c r="D2159" s="465"/>
      <c r="E2159" s="360" t="s">
        <v>3053</v>
      </c>
    </row>
    <row r="2160" spans="1:5" ht="18" customHeight="1">
      <c r="A2160" s="368"/>
      <c r="B2160" s="362" t="s">
        <v>3054</v>
      </c>
      <c r="C2160" s="359" t="s">
        <v>1142</v>
      </c>
      <c r="D2160" s="465"/>
      <c r="E2160" s="360" t="s">
        <v>3055</v>
      </c>
    </row>
    <row r="2161" spans="1:5" ht="18" customHeight="1">
      <c r="A2161" s="368"/>
      <c r="B2161" s="362" t="s">
        <v>3056</v>
      </c>
      <c r="C2161" s="359" t="s">
        <v>1142</v>
      </c>
      <c r="D2161" s="465"/>
      <c r="E2161" s="360" t="s">
        <v>3057</v>
      </c>
    </row>
    <row r="2162" spans="1:5" ht="18" customHeight="1">
      <c r="A2162" s="368"/>
      <c r="B2162" s="362" t="s">
        <v>3058</v>
      </c>
      <c r="C2162" s="359" t="s">
        <v>1142</v>
      </c>
      <c r="D2162" s="466"/>
      <c r="E2162" s="360" t="s">
        <v>3059</v>
      </c>
    </row>
    <row r="2163" spans="1:5" ht="18" customHeight="1">
      <c r="A2163" s="368" t="s">
        <v>380</v>
      </c>
      <c r="B2163" s="369" t="s">
        <v>3060</v>
      </c>
      <c r="C2163" s="359"/>
      <c r="D2163" s="359"/>
      <c r="E2163" s="360"/>
    </row>
    <row r="2164" spans="1:5" ht="18" customHeight="1">
      <c r="A2164" s="368"/>
      <c r="B2164" s="362" t="s">
        <v>3061</v>
      </c>
      <c r="C2164" s="359" t="s">
        <v>1142</v>
      </c>
      <c r="D2164" s="458" t="s">
        <v>2989</v>
      </c>
      <c r="E2164" s="360" t="s">
        <v>3062</v>
      </c>
    </row>
    <row r="2165" spans="1:5" ht="18" customHeight="1">
      <c r="A2165" s="368"/>
      <c r="B2165" s="362" t="s">
        <v>3063</v>
      </c>
      <c r="C2165" s="359" t="s">
        <v>1142</v>
      </c>
      <c r="D2165" s="459"/>
      <c r="E2165" s="360" t="s">
        <v>3064</v>
      </c>
    </row>
    <row r="2166" spans="1:5" ht="18" customHeight="1">
      <c r="A2166" s="368"/>
      <c r="B2166" s="362" t="s">
        <v>3034</v>
      </c>
      <c r="C2166" s="359" t="s">
        <v>1142</v>
      </c>
      <c r="D2166" s="459"/>
      <c r="E2166" s="360" t="s">
        <v>3065</v>
      </c>
    </row>
    <row r="2167" spans="1:5" ht="18" customHeight="1">
      <c r="A2167" s="368"/>
      <c r="B2167" s="362" t="s">
        <v>3066</v>
      </c>
      <c r="C2167" s="359" t="s">
        <v>1142</v>
      </c>
      <c r="D2167" s="459"/>
      <c r="E2167" s="360" t="s">
        <v>3067</v>
      </c>
    </row>
    <row r="2168" spans="1:5" ht="18" customHeight="1">
      <c r="A2168" s="368"/>
      <c r="B2168" s="362" t="s">
        <v>3068</v>
      </c>
      <c r="C2168" s="359" t="s">
        <v>1142</v>
      </c>
      <c r="D2168" s="459"/>
      <c r="E2168" s="360" t="s">
        <v>3069</v>
      </c>
    </row>
    <row r="2169" spans="1:5" ht="18" customHeight="1">
      <c r="A2169" s="368"/>
      <c r="B2169" s="362" t="s">
        <v>3040</v>
      </c>
      <c r="C2169" s="359" t="s">
        <v>1142</v>
      </c>
      <c r="D2169" s="459"/>
      <c r="E2169" s="360" t="s">
        <v>3070</v>
      </c>
    </row>
    <row r="2170" spans="1:5" ht="18" customHeight="1">
      <c r="A2170" s="368"/>
      <c r="B2170" s="362" t="s">
        <v>3044</v>
      </c>
      <c r="C2170" s="359" t="s">
        <v>1142</v>
      </c>
      <c r="D2170" s="459"/>
      <c r="E2170" s="360" t="s">
        <v>3071</v>
      </c>
    </row>
    <row r="2171" spans="1:5" ht="18" customHeight="1">
      <c r="A2171" s="368"/>
      <c r="B2171" s="362" t="s">
        <v>3072</v>
      </c>
      <c r="C2171" s="359" t="s">
        <v>1142</v>
      </c>
      <c r="D2171" s="459"/>
      <c r="E2171" s="360" t="s">
        <v>3073</v>
      </c>
    </row>
    <row r="2172" spans="1:5" ht="18" customHeight="1">
      <c r="A2172" s="368"/>
      <c r="B2172" s="362" t="s">
        <v>3048</v>
      </c>
      <c r="C2172" s="359" t="s">
        <v>1142</v>
      </c>
      <c r="D2172" s="459"/>
      <c r="E2172" s="360" t="s">
        <v>3074</v>
      </c>
    </row>
    <row r="2173" spans="1:5" ht="18" customHeight="1">
      <c r="A2173" s="368"/>
      <c r="B2173" s="362" t="s">
        <v>3075</v>
      </c>
      <c r="C2173" s="359" t="s">
        <v>1142</v>
      </c>
      <c r="D2173" s="459"/>
      <c r="E2173" s="360" t="s">
        <v>3076</v>
      </c>
    </row>
    <row r="2174" spans="1:5" ht="18" customHeight="1">
      <c r="A2174" s="368"/>
      <c r="B2174" s="362" t="s">
        <v>3077</v>
      </c>
      <c r="C2174" s="359" t="s">
        <v>1142</v>
      </c>
      <c r="D2174" s="459"/>
      <c r="E2174" s="360" t="s">
        <v>3078</v>
      </c>
    </row>
    <row r="2175" spans="1:5" ht="18" customHeight="1">
      <c r="A2175" s="368"/>
      <c r="B2175" s="362" t="s">
        <v>3056</v>
      </c>
      <c r="C2175" s="359" t="s">
        <v>1142</v>
      </c>
      <c r="D2175" s="459"/>
      <c r="E2175" s="360" t="s">
        <v>3079</v>
      </c>
    </row>
    <row r="2176" spans="1:5" ht="18" customHeight="1">
      <c r="A2176" s="368"/>
      <c r="B2176" s="362" t="s">
        <v>3058</v>
      </c>
      <c r="C2176" s="359" t="s">
        <v>1142</v>
      </c>
      <c r="D2176" s="459"/>
      <c r="E2176" s="360" t="s">
        <v>3080</v>
      </c>
    </row>
    <row r="2177" spans="1:5" ht="18" customHeight="1">
      <c r="A2177" s="368"/>
      <c r="B2177" s="362" t="s">
        <v>3081</v>
      </c>
      <c r="C2177" s="359"/>
      <c r="D2177" s="460"/>
      <c r="E2177" s="360"/>
    </row>
    <row r="2178" spans="1:5" ht="18" customHeight="1">
      <c r="A2178" s="368"/>
      <c r="B2178" s="362" t="s">
        <v>3082</v>
      </c>
      <c r="C2178" s="359" t="s">
        <v>1142</v>
      </c>
      <c r="D2178" s="464" t="s">
        <v>2989</v>
      </c>
      <c r="E2178" s="360" t="s">
        <v>3083</v>
      </c>
    </row>
    <row r="2179" spans="1:5" ht="18" customHeight="1">
      <c r="A2179" s="368"/>
      <c r="B2179" s="362" t="s">
        <v>3084</v>
      </c>
      <c r="C2179" s="359" t="s">
        <v>1142</v>
      </c>
      <c r="D2179" s="465"/>
      <c r="E2179" s="360" t="s">
        <v>3085</v>
      </c>
    </row>
    <row r="2180" spans="1:5" ht="18" customHeight="1">
      <c r="A2180" s="368"/>
      <c r="B2180" s="362" t="s">
        <v>3086</v>
      </c>
      <c r="C2180" s="359" t="s">
        <v>1142</v>
      </c>
      <c r="D2180" s="465"/>
      <c r="E2180" s="360" t="s">
        <v>3087</v>
      </c>
    </row>
    <row r="2181" spans="1:5" ht="18" customHeight="1">
      <c r="A2181" s="368"/>
      <c r="B2181" s="362" t="s">
        <v>3088</v>
      </c>
      <c r="C2181" s="359" t="s">
        <v>1142</v>
      </c>
      <c r="D2181" s="465"/>
      <c r="E2181" s="360" t="s">
        <v>3089</v>
      </c>
    </row>
    <row r="2182" spans="1:5" ht="18" customHeight="1">
      <c r="A2182" s="368"/>
      <c r="B2182" s="362" t="s">
        <v>3090</v>
      </c>
      <c r="C2182" s="359" t="s">
        <v>1142</v>
      </c>
      <c r="D2182" s="466"/>
      <c r="E2182" s="360" t="s">
        <v>3091</v>
      </c>
    </row>
    <row r="2183" spans="1:5" ht="18.75" customHeight="1">
      <c r="A2183" s="368" t="s">
        <v>380</v>
      </c>
      <c r="B2183" s="369" t="s">
        <v>3092</v>
      </c>
      <c r="C2183" s="359"/>
      <c r="D2183" s="359"/>
      <c r="E2183" s="360"/>
    </row>
    <row r="2184" spans="1:5" ht="18" customHeight="1">
      <c r="A2184" s="368"/>
      <c r="B2184" s="362" t="s">
        <v>3093</v>
      </c>
      <c r="C2184" s="359" t="s">
        <v>1142</v>
      </c>
      <c r="D2184" s="458" t="s">
        <v>3109</v>
      </c>
      <c r="E2184" s="360" t="s">
        <v>3094</v>
      </c>
    </row>
    <row r="2185" spans="1:5" ht="18" customHeight="1">
      <c r="A2185" s="368"/>
      <c r="B2185" s="362" t="s">
        <v>3095</v>
      </c>
      <c r="C2185" s="359" t="s">
        <v>1142</v>
      </c>
      <c r="D2185" s="459"/>
      <c r="E2185" s="360" t="s">
        <v>3096</v>
      </c>
    </row>
    <row r="2186" spans="1:5" ht="18" customHeight="1">
      <c r="A2186" s="368"/>
      <c r="B2186" s="362" t="s">
        <v>3097</v>
      </c>
      <c r="C2186" s="359" t="s">
        <v>1142</v>
      </c>
      <c r="D2186" s="459"/>
      <c r="E2186" s="360" t="s">
        <v>3098</v>
      </c>
    </row>
    <row r="2187" spans="1:5" ht="18" customHeight="1">
      <c r="A2187" s="368"/>
      <c r="B2187" s="362" t="s">
        <v>3099</v>
      </c>
      <c r="C2187" s="359" t="s">
        <v>1142</v>
      </c>
      <c r="D2187" s="459"/>
      <c r="E2187" s="360" t="s">
        <v>3100</v>
      </c>
    </row>
    <row r="2188" spans="1:5" ht="18" customHeight="1">
      <c r="A2188" s="368"/>
      <c r="B2188" s="362" t="s">
        <v>3101</v>
      </c>
      <c r="C2188" s="359" t="s">
        <v>1142</v>
      </c>
      <c r="D2188" s="459"/>
      <c r="E2188" s="360" t="s">
        <v>3102</v>
      </c>
    </row>
    <row r="2189" spans="1:5" ht="18" customHeight="1">
      <c r="A2189" s="368"/>
      <c r="B2189" s="362" t="s">
        <v>3103</v>
      </c>
      <c r="C2189" s="359" t="s">
        <v>1142</v>
      </c>
      <c r="D2189" s="459"/>
      <c r="E2189" s="360" t="s">
        <v>3104</v>
      </c>
    </row>
    <row r="2190" spans="1:5" ht="18" customHeight="1">
      <c r="A2190" s="368"/>
      <c r="B2190" s="362" t="s">
        <v>3105</v>
      </c>
      <c r="C2190" s="359" t="s">
        <v>1142</v>
      </c>
      <c r="D2190" s="459"/>
      <c r="E2190" s="360" t="s">
        <v>3106</v>
      </c>
    </row>
    <row r="2191" spans="1:5" ht="18" customHeight="1">
      <c r="A2191" s="368"/>
      <c r="B2191" s="362" t="s">
        <v>3107</v>
      </c>
      <c r="C2191" s="359"/>
      <c r="D2191" s="459"/>
      <c r="E2191" s="360"/>
    </row>
    <row r="2192" spans="1:5" ht="18" customHeight="1">
      <c r="A2192" s="368"/>
      <c r="B2192" s="362" t="s">
        <v>3108</v>
      </c>
      <c r="C2192" s="359" t="s">
        <v>1142</v>
      </c>
      <c r="D2192" s="459"/>
      <c r="E2192" s="360" t="s">
        <v>3110</v>
      </c>
    </row>
    <row r="2193" spans="1:5" ht="18" customHeight="1">
      <c r="A2193" s="368"/>
      <c r="B2193" s="362" t="s">
        <v>3111</v>
      </c>
      <c r="C2193" s="359" t="s">
        <v>1142</v>
      </c>
      <c r="D2193" s="459"/>
      <c r="E2193" s="360" t="s">
        <v>3112</v>
      </c>
    </row>
    <row r="2194" spans="1:5" ht="18" customHeight="1">
      <c r="A2194" s="368"/>
      <c r="B2194" s="362" t="s">
        <v>3113</v>
      </c>
      <c r="C2194" s="359" t="s">
        <v>1142</v>
      </c>
      <c r="D2194" s="459"/>
      <c r="E2194" s="360" t="s">
        <v>3114</v>
      </c>
    </row>
    <row r="2195" spans="1:5" ht="18" customHeight="1">
      <c r="A2195" s="368"/>
      <c r="B2195" s="362" t="s">
        <v>3115</v>
      </c>
      <c r="C2195" s="359" t="s">
        <v>1142</v>
      </c>
      <c r="D2195" s="459"/>
      <c r="E2195" s="360" t="s">
        <v>3116</v>
      </c>
    </row>
    <row r="2196" spans="1:5" ht="18" customHeight="1">
      <c r="A2196" s="368"/>
      <c r="B2196" s="362" t="s">
        <v>3115</v>
      </c>
      <c r="C2196" s="359" t="s">
        <v>1142</v>
      </c>
      <c r="D2196" s="459"/>
      <c r="E2196" s="360" t="s">
        <v>3117</v>
      </c>
    </row>
    <row r="2197" spans="1:5" ht="18" customHeight="1">
      <c r="A2197" s="368"/>
      <c r="B2197" s="362" t="s">
        <v>3115</v>
      </c>
      <c r="C2197" s="359" t="s">
        <v>1142</v>
      </c>
      <c r="D2197" s="459"/>
      <c r="E2197" s="360" t="s">
        <v>3118</v>
      </c>
    </row>
    <row r="2198" spans="1:5" ht="18" customHeight="1">
      <c r="A2198" s="368"/>
      <c r="B2198" s="362" t="s">
        <v>3119</v>
      </c>
      <c r="C2198" s="359" t="s">
        <v>1142</v>
      </c>
      <c r="D2198" s="459"/>
      <c r="E2198" s="360" t="s">
        <v>3120</v>
      </c>
    </row>
    <row r="2199" spans="1:5" ht="18" customHeight="1">
      <c r="A2199" s="368"/>
      <c r="B2199" s="362" t="s">
        <v>3121</v>
      </c>
      <c r="C2199" s="359" t="s">
        <v>1142</v>
      </c>
      <c r="D2199" s="459"/>
      <c r="E2199" s="360" t="s">
        <v>3122</v>
      </c>
    </row>
    <row r="2200" spans="1:5" ht="18" customHeight="1">
      <c r="A2200" s="368"/>
      <c r="B2200" s="362" t="s">
        <v>3123</v>
      </c>
      <c r="C2200" s="359" t="s">
        <v>1142</v>
      </c>
      <c r="D2200" s="459"/>
      <c r="E2200" s="360" t="s">
        <v>3124</v>
      </c>
    </row>
    <row r="2201" spans="1:5" ht="18" customHeight="1">
      <c r="A2201" s="368"/>
      <c r="B2201" s="362" t="s">
        <v>3125</v>
      </c>
      <c r="C2201" s="359" t="s">
        <v>1142</v>
      </c>
      <c r="D2201" s="459"/>
      <c r="E2201" s="360" t="s">
        <v>3126</v>
      </c>
    </row>
    <row r="2202" spans="1:5" ht="18" customHeight="1">
      <c r="A2202" s="368"/>
      <c r="B2202" s="362" t="s">
        <v>3127</v>
      </c>
      <c r="C2202" s="359" t="s">
        <v>1142</v>
      </c>
      <c r="D2202" s="459"/>
      <c r="E2202" s="360" t="s">
        <v>3128</v>
      </c>
    </row>
    <row r="2203" spans="1:5" ht="18" customHeight="1">
      <c r="A2203" s="368"/>
      <c r="B2203" s="362" t="s">
        <v>3129</v>
      </c>
      <c r="C2203" s="359" t="s">
        <v>1142</v>
      </c>
      <c r="D2203" s="459"/>
      <c r="E2203" s="360" t="s">
        <v>3130</v>
      </c>
    </row>
    <row r="2204" spans="1:5" ht="18" customHeight="1">
      <c r="A2204" s="368"/>
      <c r="B2204" s="362" t="s">
        <v>3131</v>
      </c>
      <c r="C2204" s="359" t="s">
        <v>1142</v>
      </c>
      <c r="D2204" s="459"/>
      <c r="E2204" s="360" t="s">
        <v>3114</v>
      </c>
    </row>
    <row r="2205" spans="1:5" ht="18" customHeight="1">
      <c r="A2205" s="368"/>
      <c r="B2205" s="362" t="s">
        <v>3132</v>
      </c>
      <c r="C2205" s="359" t="s">
        <v>1142</v>
      </c>
      <c r="D2205" s="459"/>
      <c r="E2205" s="360" t="s">
        <v>3133</v>
      </c>
    </row>
    <row r="2206" spans="1:5" ht="18" customHeight="1">
      <c r="A2206" s="368"/>
      <c r="B2206" s="362" t="s">
        <v>3134</v>
      </c>
      <c r="C2206" s="359" t="s">
        <v>1142</v>
      </c>
      <c r="D2206" s="459"/>
      <c r="E2206" s="360" t="s">
        <v>3135</v>
      </c>
    </row>
    <row r="2207" spans="1:5" ht="18" customHeight="1">
      <c r="A2207" s="368"/>
      <c r="B2207" s="362" t="s">
        <v>3136</v>
      </c>
      <c r="C2207" s="359" t="s">
        <v>1142</v>
      </c>
      <c r="D2207" s="459"/>
      <c r="E2207" s="360" t="s">
        <v>3137</v>
      </c>
    </row>
    <row r="2208" spans="1:5" ht="18" customHeight="1">
      <c r="A2208" s="368"/>
      <c r="B2208" s="362" t="s">
        <v>3138</v>
      </c>
      <c r="C2208" s="359" t="s">
        <v>1142</v>
      </c>
      <c r="D2208" s="459"/>
      <c r="E2208" s="360" t="s">
        <v>3139</v>
      </c>
    </row>
    <row r="2209" spans="1:5" ht="18" customHeight="1">
      <c r="A2209" s="368" t="s">
        <v>380</v>
      </c>
      <c r="B2209" s="369" t="s">
        <v>3140</v>
      </c>
      <c r="C2209" s="359"/>
      <c r="D2209" s="460"/>
      <c r="E2209" s="360"/>
    </row>
    <row r="2210" spans="1:5" ht="27.75" customHeight="1">
      <c r="A2210" s="368"/>
      <c r="B2210" s="362" t="s">
        <v>3141</v>
      </c>
      <c r="C2210" s="359" t="s">
        <v>1142</v>
      </c>
      <c r="D2210" s="458" t="s">
        <v>2960</v>
      </c>
      <c r="E2210" s="360" t="s">
        <v>3142</v>
      </c>
    </row>
    <row r="2211" spans="1:5" ht="27.75" customHeight="1">
      <c r="A2211" s="368"/>
      <c r="B2211" s="362" t="s">
        <v>3143</v>
      </c>
      <c r="C2211" s="359" t="s">
        <v>1142</v>
      </c>
      <c r="D2211" s="459"/>
      <c r="E2211" s="360" t="s">
        <v>3144</v>
      </c>
    </row>
    <row r="2212" spans="1:5" ht="27.75" customHeight="1">
      <c r="A2212" s="368"/>
      <c r="B2212" s="362" t="s">
        <v>3145</v>
      </c>
      <c r="C2212" s="359" t="s">
        <v>1142</v>
      </c>
      <c r="D2212" s="459"/>
      <c r="E2212" s="360" t="s">
        <v>3146</v>
      </c>
    </row>
    <row r="2213" spans="1:5" ht="27.75" customHeight="1">
      <c r="A2213" s="368"/>
      <c r="B2213" s="362" t="s">
        <v>3147</v>
      </c>
      <c r="C2213" s="359" t="s">
        <v>1142</v>
      </c>
      <c r="D2213" s="459"/>
      <c r="E2213" s="360" t="s">
        <v>3148</v>
      </c>
    </row>
    <row r="2214" spans="1:5" ht="27.75" customHeight="1">
      <c r="A2214" s="368"/>
      <c r="B2214" s="362" t="s">
        <v>3149</v>
      </c>
      <c r="C2214" s="359" t="s">
        <v>1142</v>
      </c>
      <c r="D2214" s="459"/>
      <c r="E2214" s="360" t="s">
        <v>3146</v>
      </c>
    </row>
    <row r="2215" spans="1:5" ht="18" customHeight="1">
      <c r="A2215" s="368"/>
      <c r="B2215" s="362" t="s">
        <v>3150</v>
      </c>
      <c r="C2215" s="359" t="s">
        <v>1142</v>
      </c>
      <c r="D2215" s="459"/>
      <c r="E2215" s="360" t="s">
        <v>3151</v>
      </c>
    </row>
    <row r="2216" spans="1:5" ht="18" customHeight="1">
      <c r="A2216" s="368"/>
      <c r="B2216" s="362" t="s">
        <v>3152</v>
      </c>
      <c r="C2216" s="359" t="s">
        <v>1142</v>
      </c>
      <c r="D2216" s="459"/>
      <c r="E2216" s="366">
        <v>450</v>
      </c>
    </row>
    <row r="2217" spans="1:5" ht="18" customHeight="1">
      <c r="A2217" s="368"/>
      <c r="B2217" s="362" t="s">
        <v>3153</v>
      </c>
      <c r="C2217" s="359" t="s">
        <v>1142</v>
      </c>
      <c r="D2217" s="460"/>
      <c r="E2217" s="360" t="s">
        <v>3154</v>
      </c>
    </row>
    <row r="2218" spans="1:5" ht="44.25" customHeight="1">
      <c r="A2218" s="368"/>
      <c r="B2218" s="362" t="s">
        <v>3155</v>
      </c>
      <c r="C2218" s="359" t="s">
        <v>1142</v>
      </c>
      <c r="D2218" s="461" t="s">
        <v>2846</v>
      </c>
      <c r="E2218" s="360" t="s">
        <v>3156</v>
      </c>
    </row>
    <row r="2219" spans="1:5" ht="31.5" customHeight="1">
      <c r="A2219" s="368"/>
      <c r="B2219" s="362" t="s">
        <v>3157</v>
      </c>
      <c r="C2219" s="359" t="s">
        <v>1142</v>
      </c>
      <c r="D2219" s="462"/>
      <c r="E2219" s="360" t="s">
        <v>3158</v>
      </c>
    </row>
    <row r="2220" spans="1:5" ht="18" customHeight="1">
      <c r="A2220" s="368"/>
      <c r="B2220" s="362" t="s">
        <v>3159</v>
      </c>
      <c r="C2220" s="359" t="s">
        <v>1142</v>
      </c>
      <c r="D2220" s="462"/>
      <c r="E2220" s="360" t="s">
        <v>3160</v>
      </c>
    </row>
    <row r="2221" spans="1:5" ht="18" customHeight="1">
      <c r="A2221" s="368"/>
      <c r="B2221" s="362" t="s">
        <v>3161</v>
      </c>
      <c r="C2221" s="359" t="s">
        <v>1142</v>
      </c>
      <c r="D2221" s="462"/>
      <c r="E2221" s="360" t="s">
        <v>3162</v>
      </c>
    </row>
    <row r="2222" spans="1:5" ht="18" customHeight="1">
      <c r="A2222" s="368"/>
      <c r="B2222" s="362" t="s">
        <v>3163</v>
      </c>
      <c r="C2222" s="359" t="s">
        <v>1142</v>
      </c>
      <c r="D2222" s="462"/>
      <c r="E2222" s="360" t="s">
        <v>3164</v>
      </c>
    </row>
    <row r="2223" spans="1:5" ht="18" customHeight="1">
      <c r="A2223" s="368"/>
      <c r="B2223" s="362" t="s">
        <v>3165</v>
      </c>
      <c r="C2223" s="359" t="s">
        <v>1142</v>
      </c>
      <c r="D2223" s="462"/>
      <c r="E2223" s="360" t="s">
        <v>3166</v>
      </c>
    </row>
    <row r="2224" spans="1:5" ht="18" customHeight="1">
      <c r="A2224" s="368"/>
      <c r="B2224" s="362" t="s">
        <v>3167</v>
      </c>
      <c r="C2224" s="359" t="s">
        <v>1142</v>
      </c>
      <c r="D2224" s="462"/>
      <c r="E2224" s="360" t="s">
        <v>3168</v>
      </c>
    </row>
    <row r="2225" spans="1:5" ht="18" customHeight="1">
      <c r="A2225" s="368"/>
      <c r="B2225" s="362" t="s">
        <v>3169</v>
      </c>
      <c r="C2225" s="359" t="s">
        <v>1142</v>
      </c>
      <c r="D2225" s="462"/>
      <c r="E2225" s="360" t="s">
        <v>3170</v>
      </c>
    </row>
    <row r="2226" spans="1:5" ht="18" customHeight="1">
      <c r="A2226" s="368"/>
      <c r="B2226" s="362" t="s">
        <v>3171</v>
      </c>
      <c r="C2226" s="359" t="s">
        <v>1142</v>
      </c>
      <c r="D2226" s="462"/>
      <c r="E2226" s="360" t="s">
        <v>3172</v>
      </c>
    </row>
    <row r="2227" spans="1:5" ht="18" customHeight="1">
      <c r="A2227" s="368"/>
      <c r="B2227" s="362" t="s">
        <v>3173</v>
      </c>
      <c r="C2227" s="359" t="s">
        <v>1142</v>
      </c>
      <c r="D2227" s="462"/>
      <c r="E2227" s="360" t="s">
        <v>3174</v>
      </c>
    </row>
    <row r="2228" spans="1:5" ht="18" customHeight="1">
      <c r="A2228" s="368"/>
      <c r="B2228" s="362" t="s">
        <v>3175</v>
      </c>
      <c r="C2228" s="359" t="s">
        <v>1142</v>
      </c>
      <c r="D2228" s="462"/>
      <c r="E2228" s="360" t="s">
        <v>3074</v>
      </c>
    </row>
    <row r="2229" spans="1:5" ht="18" customHeight="1">
      <c r="A2229" s="368"/>
      <c r="B2229" s="362" t="s">
        <v>3176</v>
      </c>
      <c r="C2229" s="359" t="s">
        <v>1142</v>
      </c>
      <c r="D2229" s="462"/>
      <c r="E2229" s="360" t="s">
        <v>3177</v>
      </c>
    </row>
    <row r="2230" spans="1:5" ht="18" customHeight="1">
      <c r="A2230" s="368"/>
      <c r="B2230" s="362" t="s">
        <v>3178</v>
      </c>
      <c r="C2230" s="359" t="s">
        <v>1142</v>
      </c>
      <c r="D2230" s="463"/>
      <c r="E2230" s="360" t="s">
        <v>3179</v>
      </c>
    </row>
    <row r="2231" spans="1:5" ht="20.25" customHeight="1">
      <c r="A2231" s="368"/>
      <c r="B2231" s="362" t="s">
        <v>3180</v>
      </c>
      <c r="C2231" s="359" t="s">
        <v>1142</v>
      </c>
      <c r="D2231" s="461" t="s">
        <v>2372</v>
      </c>
      <c r="E2231" s="360" t="s">
        <v>3181</v>
      </c>
    </row>
    <row r="2232" spans="1:5" ht="33.75" customHeight="1">
      <c r="A2232" s="368"/>
      <c r="B2232" s="362" t="s">
        <v>3182</v>
      </c>
      <c r="C2232" s="359" t="s">
        <v>1142</v>
      </c>
      <c r="D2232" s="462"/>
      <c r="E2232" s="360" t="s">
        <v>3183</v>
      </c>
    </row>
    <row r="2233" spans="1:5" ht="48" customHeight="1">
      <c r="A2233" s="368"/>
      <c r="B2233" s="362" t="s">
        <v>3184</v>
      </c>
      <c r="C2233" s="359" t="s">
        <v>1142</v>
      </c>
      <c r="D2233" s="462"/>
      <c r="E2233" s="360" t="s">
        <v>3185</v>
      </c>
    </row>
    <row r="2234" spans="1:5" ht="48.75" customHeight="1">
      <c r="A2234" s="368"/>
      <c r="B2234" s="362" t="s">
        <v>3186</v>
      </c>
      <c r="C2234" s="359" t="s">
        <v>1142</v>
      </c>
      <c r="D2234" s="462"/>
      <c r="E2234" s="360" t="s">
        <v>3187</v>
      </c>
    </row>
    <row r="2235" spans="1:5" ht="49.5" customHeight="1">
      <c r="A2235" s="368"/>
      <c r="B2235" s="362" t="s">
        <v>3188</v>
      </c>
      <c r="C2235" s="359" t="s">
        <v>1142</v>
      </c>
      <c r="D2235" s="462"/>
      <c r="E2235" s="360" t="s">
        <v>3189</v>
      </c>
    </row>
    <row r="2236" spans="1:5" ht="45" customHeight="1">
      <c r="A2236" s="368"/>
      <c r="B2236" s="362" t="s">
        <v>3190</v>
      </c>
      <c r="C2236" s="359" t="s">
        <v>1142</v>
      </c>
      <c r="D2236" s="462"/>
      <c r="E2236" s="360" t="s">
        <v>3191</v>
      </c>
    </row>
    <row r="2237" spans="1:5" ht="49.5" customHeight="1">
      <c r="A2237" s="368"/>
      <c r="B2237" s="362" t="s">
        <v>3192</v>
      </c>
      <c r="C2237" s="359" t="s">
        <v>1142</v>
      </c>
      <c r="D2237" s="462"/>
      <c r="E2237" s="360" t="s">
        <v>3189</v>
      </c>
    </row>
    <row r="2238" spans="1:5" ht="43.5" customHeight="1">
      <c r="A2238" s="368"/>
      <c r="B2238" s="362" t="s">
        <v>3193</v>
      </c>
      <c r="C2238" s="359" t="s">
        <v>1142</v>
      </c>
      <c r="D2238" s="463"/>
      <c r="E2238" s="360" t="s">
        <v>3189</v>
      </c>
    </row>
    <row r="2239" spans="1:5" ht="15" customHeight="1">
      <c r="A2239" s="448" t="s">
        <v>1331</v>
      </c>
      <c r="B2239" s="449"/>
      <c r="C2239" s="449"/>
      <c r="D2239" s="449"/>
      <c r="E2239" s="450"/>
    </row>
    <row r="2240" spans="1:5" ht="15">
      <c r="A2240" s="122" t="s">
        <v>1332</v>
      </c>
      <c r="B2240" s="356" t="s">
        <v>1264</v>
      </c>
      <c r="C2240" s="356"/>
      <c r="D2240" s="356"/>
      <c r="E2240" s="356"/>
    </row>
    <row r="2241" spans="1:5" ht="15.75">
      <c r="A2241" s="146"/>
      <c r="B2241" s="160" t="s">
        <v>1265</v>
      </c>
      <c r="C2241" s="124"/>
      <c r="D2241" s="124"/>
      <c r="E2241" s="134"/>
    </row>
    <row r="2242" spans="1:5" ht="15.75">
      <c r="A2242" s="131" t="s">
        <v>380</v>
      </c>
      <c r="B2242" s="163" t="s">
        <v>1096</v>
      </c>
      <c r="C2242" s="230"/>
      <c r="D2242" s="230"/>
      <c r="E2242" s="134"/>
    </row>
    <row r="2243" spans="1:5" ht="15.75">
      <c r="A2243" s="126"/>
      <c r="B2243" s="130" t="s">
        <v>1092</v>
      </c>
      <c r="C2243" s="124" t="s">
        <v>210</v>
      </c>
      <c r="D2243" s="124"/>
      <c r="E2243" s="134">
        <v>2636364</v>
      </c>
    </row>
    <row r="2244" spans="1:5" ht="15.75">
      <c r="A2244" s="126"/>
      <c r="B2244" s="130" t="s">
        <v>1093</v>
      </c>
      <c r="C2244" s="124" t="s">
        <v>210</v>
      </c>
      <c r="D2244" s="124"/>
      <c r="E2244" s="134">
        <v>2727273</v>
      </c>
    </row>
    <row r="2245" spans="1:5" ht="15.75">
      <c r="A2245" s="126"/>
      <c r="B2245" s="130" t="s">
        <v>1094</v>
      </c>
      <c r="C2245" s="124" t="s">
        <v>210</v>
      </c>
      <c r="D2245" s="124"/>
      <c r="E2245" s="134">
        <v>2863636</v>
      </c>
    </row>
    <row r="2246" spans="1:5" ht="15.75" customHeight="1">
      <c r="A2246" s="126" t="s">
        <v>380</v>
      </c>
      <c r="B2246" s="163" t="s">
        <v>1095</v>
      </c>
      <c r="C2246" s="124"/>
      <c r="D2246" s="124"/>
      <c r="E2246" s="134"/>
    </row>
    <row r="2247" spans="1:5" ht="15.75">
      <c r="A2247" s="126"/>
      <c r="B2247" s="130" t="s">
        <v>1092</v>
      </c>
      <c r="C2247" s="124" t="s">
        <v>210</v>
      </c>
      <c r="D2247" s="124"/>
      <c r="E2247" s="134">
        <v>2318182</v>
      </c>
    </row>
    <row r="2248" spans="1:5" ht="15.75">
      <c r="A2248" s="126"/>
      <c r="B2248" s="130" t="s">
        <v>1093</v>
      </c>
      <c r="C2248" s="124" t="s">
        <v>210</v>
      </c>
      <c r="D2248" s="124"/>
      <c r="E2248" s="134">
        <v>2409091</v>
      </c>
    </row>
    <row r="2249" spans="1:5" ht="15.75">
      <c r="A2249" s="126"/>
      <c r="B2249" s="130" t="s">
        <v>1094</v>
      </c>
      <c r="C2249" s="124" t="s">
        <v>210</v>
      </c>
      <c r="D2249" s="124"/>
      <c r="E2249" s="134">
        <v>2545455</v>
      </c>
    </row>
    <row r="2250" spans="1:5" ht="15.75">
      <c r="A2250" s="131" t="s">
        <v>380</v>
      </c>
      <c r="B2250" s="127" t="s">
        <v>1097</v>
      </c>
      <c r="C2250" s="124"/>
      <c r="D2250" s="124"/>
      <c r="E2250" s="134"/>
    </row>
    <row r="2251" spans="1:5" ht="15.75">
      <c r="A2251" s="126"/>
      <c r="B2251" s="130" t="s">
        <v>1103</v>
      </c>
      <c r="C2251" s="124" t="s">
        <v>210</v>
      </c>
      <c r="D2251" s="124"/>
      <c r="E2251" s="134">
        <v>3354545</v>
      </c>
    </row>
    <row r="2252" spans="1:5" ht="15.75">
      <c r="A2252" s="126"/>
      <c r="B2252" s="130" t="s">
        <v>1104</v>
      </c>
      <c r="C2252" s="124" t="s">
        <v>210</v>
      </c>
      <c r="D2252" s="124"/>
      <c r="E2252" s="134">
        <v>6081818</v>
      </c>
    </row>
    <row r="2253" spans="1:5" ht="15.75">
      <c r="A2253" s="131" t="s">
        <v>380</v>
      </c>
      <c r="B2253" s="127" t="s">
        <v>1098</v>
      </c>
      <c r="C2253" s="124"/>
      <c r="D2253" s="124"/>
      <c r="E2253" s="134"/>
    </row>
    <row r="2254" spans="1:5" ht="15.75">
      <c r="A2254" s="131"/>
      <c r="B2254" s="130" t="s">
        <v>1099</v>
      </c>
      <c r="C2254" s="124" t="s">
        <v>210</v>
      </c>
      <c r="D2254" s="124"/>
      <c r="E2254" s="134">
        <v>1727273</v>
      </c>
    </row>
    <row r="2255" spans="1:5" ht="15.75">
      <c r="A2255" s="131"/>
      <c r="B2255" s="130" t="s">
        <v>1100</v>
      </c>
      <c r="C2255" s="124" t="s">
        <v>210</v>
      </c>
      <c r="D2255" s="124"/>
      <c r="E2255" s="134">
        <v>2272727</v>
      </c>
    </row>
    <row r="2256" spans="1:5" ht="15.75">
      <c r="A2256" s="131"/>
      <c r="B2256" s="130" t="s">
        <v>1101</v>
      </c>
      <c r="C2256" s="124" t="s">
        <v>210</v>
      </c>
      <c r="D2256" s="124"/>
      <c r="E2256" s="134">
        <v>1818182</v>
      </c>
    </row>
    <row r="2257" spans="1:5" ht="15.75">
      <c r="A2257" s="131"/>
      <c r="B2257" s="130" t="s">
        <v>1102</v>
      </c>
      <c r="C2257" s="124" t="s">
        <v>210</v>
      </c>
      <c r="D2257" s="124"/>
      <c r="E2257" s="134">
        <v>2363636</v>
      </c>
    </row>
    <row r="2258" spans="1:5" ht="30">
      <c r="A2258" s="131" t="s">
        <v>380</v>
      </c>
      <c r="B2258" s="231" t="s">
        <v>1982</v>
      </c>
      <c r="C2258" s="124"/>
      <c r="D2258" s="124"/>
      <c r="E2258" s="134"/>
    </row>
    <row r="2259" spans="1:5" ht="15.75">
      <c r="A2259" s="131"/>
      <c r="B2259" s="163" t="s">
        <v>1105</v>
      </c>
      <c r="C2259" s="124"/>
      <c r="D2259" s="124"/>
      <c r="E2259" s="134"/>
    </row>
    <row r="2260" spans="1:5" ht="15.75">
      <c r="A2260" s="131"/>
      <c r="B2260" s="162" t="s">
        <v>1133</v>
      </c>
      <c r="C2260" s="124" t="s">
        <v>615</v>
      </c>
      <c r="D2260" s="124"/>
      <c r="E2260" s="134">
        <v>5727273</v>
      </c>
    </row>
    <row r="2261" spans="1:5" ht="15.75">
      <c r="A2261" s="131"/>
      <c r="B2261" s="162" t="s">
        <v>1135</v>
      </c>
      <c r="C2261" s="124" t="s">
        <v>615</v>
      </c>
      <c r="D2261" s="124"/>
      <c r="E2261" s="134">
        <v>6272727</v>
      </c>
    </row>
    <row r="2262" spans="1:5" ht="15.75">
      <c r="A2262" s="131"/>
      <c r="B2262" s="162" t="s">
        <v>1134</v>
      </c>
      <c r="C2262" s="124" t="s">
        <v>615</v>
      </c>
      <c r="D2262" s="124"/>
      <c r="E2262" s="134">
        <v>6818182</v>
      </c>
    </row>
    <row r="2263" spans="1:5" ht="15.75">
      <c r="A2263" s="131"/>
      <c r="B2263" s="162" t="s">
        <v>1136</v>
      </c>
      <c r="C2263" s="124" t="s">
        <v>615</v>
      </c>
      <c r="D2263" s="124"/>
      <c r="E2263" s="134">
        <v>7363636</v>
      </c>
    </row>
    <row r="2264" spans="1:5" ht="15.75">
      <c r="A2264" s="131"/>
      <c r="B2264" s="162" t="s">
        <v>1137</v>
      </c>
      <c r="C2264" s="124" t="s">
        <v>615</v>
      </c>
      <c r="D2264" s="124"/>
      <c r="E2264" s="134">
        <v>5818182</v>
      </c>
    </row>
    <row r="2265" spans="1:5" ht="15.75">
      <c r="A2265" s="131"/>
      <c r="B2265" s="162" t="s">
        <v>1132</v>
      </c>
      <c r="C2265" s="124" t="s">
        <v>615</v>
      </c>
      <c r="D2265" s="124"/>
      <c r="E2265" s="134">
        <v>6181818</v>
      </c>
    </row>
    <row r="2266" spans="1:5" ht="15.75">
      <c r="A2266" s="131"/>
      <c r="B2266" s="162" t="s">
        <v>1131</v>
      </c>
      <c r="C2266" s="124" t="s">
        <v>615</v>
      </c>
      <c r="D2266" s="124"/>
      <c r="E2266" s="134">
        <v>6545455</v>
      </c>
    </row>
    <row r="2267" spans="1:5" ht="15.75">
      <c r="A2267" s="131"/>
      <c r="B2267" s="162" t="s">
        <v>1130</v>
      </c>
      <c r="C2267" s="124" t="s">
        <v>615</v>
      </c>
      <c r="D2267" s="124"/>
      <c r="E2267" s="134">
        <v>7090909</v>
      </c>
    </row>
    <row r="2268" spans="1:5" ht="15.75">
      <c r="A2268" s="131"/>
      <c r="B2268" s="163" t="s">
        <v>1106</v>
      </c>
      <c r="C2268" s="124"/>
      <c r="D2268" s="124"/>
      <c r="E2268" s="134"/>
    </row>
    <row r="2269" spans="1:5" ht="15.75">
      <c r="A2269" s="131"/>
      <c r="B2269" s="162" t="s">
        <v>1129</v>
      </c>
      <c r="C2269" s="124" t="s">
        <v>615</v>
      </c>
      <c r="D2269" s="124"/>
      <c r="E2269" s="134">
        <v>6454545</v>
      </c>
    </row>
    <row r="2270" spans="1:5" ht="15.75">
      <c r="A2270" s="131"/>
      <c r="B2270" s="162" t="s">
        <v>1128</v>
      </c>
      <c r="C2270" s="124" t="s">
        <v>615</v>
      </c>
      <c r="D2270" s="124"/>
      <c r="E2270" s="134">
        <v>6909091</v>
      </c>
    </row>
    <row r="2271" spans="1:5" ht="15.75">
      <c r="A2271" s="131"/>
      <c r="B2271" s="162" t="s">
        <v>1127</v>
      </c>
      <c r="C2271" s="124" t="s">
        <v>615</v>
      </c>
      <c r="D2271" s="124"/>
      <c r="E2271" s="134">
        <v>7363636</v>
      </c>
    </row>
    <row r="2272" spans="1:5" ht="15.75">
      <c r="A2272" s="131"/>
      <c r="B2272" s="162" t="s">
        <v>1126</v>
      </c>
      <c r="C2272" s="124" t="s">
        <v>615</v>
      </c>
      <c r="D2272" s="124"/>
      <c r="E2272" s="134">
        <v>8045455</v>
      </c>
    </row>
    <row r="2273" spans="1:5" ht="15.75">
      <c r="A2273" s="131"/>
      <c r="B2273" s="163" t="s">
        <v>1107</v>
      </c>
      <c r="C2273" s="124"/>
      <c r="D2273" s="124"/>
      <c r="E2273" s="134"/>
    </row>
    <row r="2274" spans="1:5" ht="15.75">
      <c r="A2274" s="131"/>
      <c r="B2274" s="162" t="s">
        <v>1125</v>
      </c>
      <c r="C2274" s="124" t="s">
        <v>615</v>
      </c>
      <c r="D2274" s="124"/>
      <c r="E2274" s="134">
        <v>7909091</v>
      </c>
    </row>
    <row r="2275" spans="1:5" ht="15.75">
      <c r="A2275" s="131"/>
      <c r="B2275" s="162" t="s">
        <v>1124</v>
      </c>
      <c r="C2275" s="124" t="s">
        <v>615</v>
      </c>
      <c r="D2275" s="124"/>
      <c r="E2275" s="134">
        <v>8181818</v>
      </c>
    </row>
    <row r="2276" spans="1:5" ht="15.75">
      <c r="A2276" s="131"/>
      <c r="B2276" s="162" t="s">
        <v>1123</v>
      </c>
      <c r="C2276" s="124" t="s">
        <v>615</v>
      </c>
      <c r="D2276" s="124"/>
      <c r="E2276" s="134">
        <v>8454545</v>
      </c>
    </row>
    <row r="2277" spans="1:5" ht="15.75">
      <c r="A2277" s="131"/>
      <c r="B2277" s="163" t="s">
        <v>1108</v>
      </c>
      <c r="C2277" s="124"/>
      <c r="D2277" s="124"/>
      <c r="E2277" s="134"/>
    </row>
    <row r="2278" spans="1:5" ht="15.75">
      <c r="A2278" s="131"/>
      <c r="B2278" s="162" t="s">
        <v>1116</v>
      </c>
      <c r="C2278" s="124" t="s">
        <v>615</v>
      </c>
      <c r="D2278" s="124"/>
      <c r="E2278" s="134">
        <v>8545455</v>
      </c>
    </row>
    <row r="2279" spans="1:5" ht="15.75">
      <c r="A2279" s="131"/>
      <c r="B2279" s="162" t="s">
        <v>1117</v>
      </c>
      <c r="C2279" s="124" t="s">
        <v>615</v>
      </c>
      <c r="D2279" s="124"/>
      <c r="E2279" s="134">
        <v>8863636</v>
      </c>
    </row>
    <row r="2280" spans="1:5" ht="15.75">
      <c r="A2280" s="131"/>
      <c r="B2280" s="162" t="s">
        <v>1118</v>
      </c>
      <c r="C2280" s="124" t="s">
        <v>615</v>
      </c>
      <c r="D2280" s="124"/>
      <c r="E2280" s="134">
        <v>9181818</v>
      </c>
    </row>
    <row r="2281" spans="1:5" ht="15.75">
      <c r="A2281" s="131"/>
      <c r="B2281" s="231" t="s">
        <v>1109</v>
      </c>
      <c r="C2281" s="124"/>
      <c r="D2281" s="124"/>
      <c r="E2281" s="134"/>
    </row>
    <row r="2282" spans="1:5" ht="15.75">
      <c r="A2282" s="131"/>
      <c r="B2282" s="162" t="s">
        <v>1119</v>
      </c>
      <c r="C2282" s="124" t="s">
        <v>615</v>
      </c>
      <c r="D2282" s="124"/>
      <c r="E2282" s="134">
        <v>18954545</v>
      </c>
    </row>
    <row r="2283" spans="1:5" ht="15.75">
      <c r="A2283" s="131"/>
      <c r="B2283" s="162" t="s">
        <v>1120</v>
      </c>
      <c r="C2283" s="124" t="s">
        <v>615</v>
      </c>
      <c r="D2283" s="124"/>
      <c r="E2283" s="134">
        <v>37909091</v>
      </c>
    </row>
    <row r="2284" spans="1:5" ht="15.75">
      <c r="A2284" s="131"/>
      <c r="B2284" s="162" t="s">
        <v>1121</v>
      </c>
      <c r="C2284" s="124" t="s">
        <v>615</v>
      </c>
      <c r="D2284" s="124"/>
      <c r="E2284" s="134">
        <v>56909091</v>
      </c>
    </row>
    <row r="2285" spans="1:5" ht="15.75">
      <c r="A2285" s="131"/>
      <c r="B2285" s="162" t="s">
        <v>1122</v>
      </c>
      <c r="C2285" s="124" t="s">
        <v>615</v>
      </c>
      <c r="D2285" s="124"/>
      <c r="E2285" s="134">
        <v>75863636</v>
      </c>
    </row>
    <row r="2286" spans="1:5" ht="30">
      <c r="A2286" s="131" t="s">
        <v>380</v>
      </c>
      <c r="B2286" s="232" t="s">
        <v>1983</v>
      </c>
      <c r="C2286" s="143"/>
      <c r="D2286" s="143"/>
      <c r="E2286" s="233"/>
    </row>
    <row r="2287" spans="1:5" ht="15.75">
      <c r="A2287" s="126"/>
      <c r="B2287" s="130" t="s">
        <v>1110</v>
      </c>
      <c r="C2287" s="124" t="s">
        <v>615</v>
      </c>
      <c r="D2287" s="124"/>
      <c r="E2287" s="134">
        <v>6182000</v>
      </c>
    </row>
    <row r="2288" spans="1:5" ht="15.75">
      <c r="A2288" s="126"/>
      <c r="B2288" s="130" t="s">
        <v>1112</v>
      </c>
      <c r="C2288" s="124" t="s">
        <v>615</v>
      </c>
      <c r="D2288" s="124"/>
      <c r="E2288" s="134">
        <v>6745000</v>
      </c>
    </row>
    <row r="2289" spans="1:5" ht="15.75">
      <c r="A2289" s="126"/>
      <c r="B2289" s="130" t="s">
        <v>1111</v>
      </c>
      <c r="C2289" s="124" t="s">
        <v>615</v>
      </c>
      <c r="D2289" s="124"/>
      <c r="E2289" s="134">
        <v>6436000</v>
      </c>
    </row>
    <row r="2290" spans="1:5" ht="15.75">
      <c r="A2290" s="126"/>
      <c r="B2290" s="130" t="s">
        <v>1113</v>
      </c>
      <c r="C2290" s="124" t="s">
        <v>615</v>
      </c>
      <c r="D2290" s="124"/>
      <c r="E2290" s="134">
        <v>7164000</v>
      </c>
    </row>
    <row r="2291" spans="1:5" ht="15.75">
      <c r="A2291" s="126"/>
      <c r="B2291" s="130" t="s">
        <v>1114</v>
      </c>
      <c r="C2291" s="124" t="s">
        <v>615</v>
      </c>
      <c r="D2291" s="124"/>
      <c r="E2291" s="134">
        <v>7718000</v>
      </c>
    </row>
    <row r="2292" spans="1:5" ht="15.75">
      <c r="A2292" s="126"/>
      <c r="B2292" s="130" t="s">
        <v>1115</v>
      </c>
      <c r="C2292" s="124" t="s">
        <v>615</v>
      </c>
      <c r="D2292" s="124"/>
      <c r="E2292" s="134">
        <v>8318000</v>
      </c>
    </row>
    <row r="2293" spans="1:5" ht="21" customHeight="1">
      <c r="A2293" s="131" t="s">
        <v>380</v>
      </c>
      <c r="B2293" s="231" t="s">
        <v>1138</v>
      </c>
      <c r="C2293" s="230"/>
      <c r="D2293" s="230"/>
      <c r="E2293" s="134"/>
    </row>
    <row r="2294" spans="1:5" ht="15.75">
      <c r="A2294" s="126"/>
      <c r="B2294" s="130" t="s">
        <v>634</v>
      </c>
      <c r="C2294" s="124" t="s">
        <v>210</v>
      </c>
      <c r="D2294" s="124"/>
      <c r="E2294" s="134">
        <v>3045455</v>
      </c>
    </row>
    <row r="2295" spans="1:5" ht="15.75">
      <c r="A2295" s="126"/>
      <c r="B2295" s="130" t="s">
        <v>635</v>
      </c>
      <c r="C2295" s="124" t="s">
        <v>210</v>
      </c>
      <c r="D2295" s="124"/>
      <c r="E2295" s="134">
        <v>4681818</v>
      </c>
    </row>
    <row r="2296" spans="1:5" ht="15.75">
      <c r="A2296" s="126"/>
      <c r="B2296" s="130" t="s">
        <v>636</v>
      </c>
      <c r="C2296" s="124" t="s">
        <v>210</v>
      </c>
      <c r="D2296" s="124"/>
      <c r="E2296" s="134">
        <v>6181818</v>
      </c>
    </row>
    <row r="2297" spans="1:5" ht="15.75">
      <c r="A2297" s="126"/>
      <c r="B2297" s="130" t="s">
        <v>1068</v>
      </c>
      <c r="C2297" s="124" t="s">
        <v>210</v>
      </c>
      <c r="D2297" s="124"/>
      <c r="E2297" s="134">
        <v>8090909</v>
      </c>
    </row>
    <row r="2298" spans="1:5" ht="15.75">
      <c r="A2298" s="126"/>
      <c r="B2298" s="130" t="s">
        <v>637</v>
      </c>
      <c r="C2298" s="124" t="s">
        <v>210</v>
      </c>
      <c r="D2298" s="124"/>
      <c r="E2298" s="134">
        <v>9363636</v>
      </c>
    </row>
    <row r="2299" spans="1:5" ht="15.75">
      <c r="A2299" s="126"/>
      <c r="B2299" s="130" t="s">
        <v>1069</v>
      </c>
      <c r="C2299" s="124" t="s">
        <v>210</v>
      </c>
      <c r="D2299" s="124"/>
      <c r="E2299" s="134">
        <v>11818182</v>
      </c>
    </row>
    <row r="2300" spans="1:5" ht="15.75">
      <c r="A2300" s="126" t="s">
        <v>380</v>
      </c>
      <c r="B2300" s="231" t="s">
        <v>1139</v>
      </c>
      <c r="C2300" s="124"/>
      <c r="D2300" s="124"/>
      <c r="E2300" s="134"/>
    </row>
    <row r="2301" spans="1:5" ht="15.75">
      <c r="A2301" s="126"/>
      <c r="B2301" s="130" t="s">
        <v>1070</v>
      </c>
      <c r="C2301" s="124" t="s">
        <v>210</v>
      </c>
      <c r="D2301" s="124"/>
      <c r="E2301" s="134">
        <v>3227273</v>
      </c>
    </row>
    <row r="2302" spans="1:5" ht="15.75">
      <c r="A2302" s="126"/>
      <c r="B2302" s="130" t="s">
        <v>1074</v>
      </c>
      <c r="C2302" s="124" t="s">
        <v>210</v>
      </c>
      <c r="D2302" s="124"/>
      <c r="E2302" s="134">
        <v>4863636</v>
      </c>
    </row>
    <row r="2303" spans="1:5" ht="15.75">
      <c r="A2303" s="126"/>
      <c r="B2303" s="130" t="s">
        <v>1071</v>
      </c>
      <c r="C2303" s="124" t="s">
        <v>210</v>
      </c>
      <c r="D2303" s="124"/>
      <c r="E2303" s="134">
        <v>6363636</v>
      </c>
    </row>
    <row r="2304" spans="1:5" ht="15.75">
      <c r="A2304" s="126"/>
      <c r="B2304" s="130" t="s">
        <v>1072</v>
      </c>
      <c r="C2304" s="124" t="s">
        <v>210</v>
      </c>
      <c r="D2304" s="124"/>
      <c r="E2304" s="134">
        <v>9727273</v>
      </c>
    </row>
    <row r="2305" spans="1:5" ht="15.75">
      <c r="A2305" s="126"/>
      <c r="B2305" s="130" t="s">
        <v>1073</v>
      </c>
      <c r="C2305" s="124" t="s">
        <v>210</v>
      </c>
      <c r="D2305" s="124"/>
      <c r="E2305" s="134">
        <v>12363636</v>
      </c>
    </row>
    <row r="2306" spans="1:5" ht="15.75">
      <c r="A2306" s="131" t="s">
        <v>380</v>
      </c>
      <c r="B2306" s="231" t="s">
        <v>1140</v>
      </c>
      <c r="C2306" s="230"/>
      <c r="D2306" s="230"/>
      <c r="E2306" s="134"/>
    </row>
    <row r="2307" spans="1:5" ht="15.75">
      <c r="A2307" s="131"/>
      <c r="B2307" s="130" t="s">
        <v>1075</v>
      </c>
      <c r="C2307" s="124" t="s">
        <v>210</v>
      </c>
      <c r="D2307" s="124"/>
      <c r="E2307" s="134">
        <v>1018182</v>
      </c>
    </row>
    <row r="2308" spans="1:5" ht="15.75">
      <c r="A2308" s="126"/>
      <c r="B2308" s="130" t="s">
        <v>701</v>
      </c>
      <c r="C2308" s="124" t="s">
        <v>210</v>
      </c>
      <c r="D2308" s="124"/>
      <c r="E2308" s="134">
        <v>1500000</v>
      </c>
    </row>
    <row r="2309" spans="1:5" ht="15.75">
      <c r="A2309" s="126"/>
      <c r="B2309" s="130" t="s">
        <v>702</v>
      </c>
      <c r="C2309" s="124" t="s">
        <v>210</v>
      </c>
      <c r="D2309" s="124"/>
      <c r="E2309" s="134">
        <v>2454545</v>
      </c>
    </row>
    <row r="2310" spans="1:5" ht="15.75">
      <c r="A2310" s="126"/>
      <c r="B2310" s="130" t="s">
        <v>1076</v>
      </c>
      <c r="C2310" s="124" t="s">
        <v>210</v>
      </c>
      <c r="D2310" s="124"/>
      <c r="E2310" s="134">
        <v>3727273</v>
      </c>
    </row>
    <row r="2311" spans="1:5" ht="15.75">
      <c r="A2311" s="126"/>
      <c r="B2311" s="130" t="s">
        <v>703</v>
      </c>
      <c r="C2311" s="124" t="s">
        <v>210</v>
      </c>
      <c r="D2311" s="124"/>
      <c r="E2311" s="134">
        <v>4818182</v>
      </c>
    </row>
    <row r="2312" spans="1:5" ht="15.75">
      <c r="A2312" s="126"/>
      <c r="B2312" s="130" t="s">
        <v>1077</v>
      </c>
      <c r="C2312" s="124" t="s">
        <v>210</v>
      </c>
      <c r="D2312" s="124"/>
      <c r="E2312" s="134">
        <v>9545455</v>
      </c>
    </row>
    <row r="2313" spans="1:5" ht="15.75">
      <c r="A2313" s="126" t="s">
        <v>380</v>
      </c>
      <c r="B2313" s="231" t="s">
        <v>1141</v>
      </c>
      <c r="C2313" s="124"/>
      <c r="D2313" s="124"/>
      <c r="E2313" s="134"/>
    </row>
    <row r="2314" spans="1:5" ht="15.75">
      <c r="A2314" s="126"/>
      <c r="B2314" s="130" t="s">
        <v>1078</v>
      </c>
      <c r="C2314" s="124" t="s">
        <v>210</v>
      </c>
      <c r="D2314" s="124"/>
      <c r="E2314" s="134">
        <v>1200000</v>
      </c>
    </row>
    <row r="2315" spans="1:5" ht="15.75">
      <c r="A2315" s="126"/>
      <c r="B2315" s="130" t="s">
        <v>1079</v>
      </c>
      <c r="C2315" s="124" t="s">
        <v>210</v>
      </c>
      <c r="D2315" s="124"/>
      <c r="E2315" s="134">
        <v>1681818</v>
      </c>
    </row>
    <row r="2316" spans="1:5" ht="15.75">
      <c r="A2316" s="126"/>
      <c r="B2316" s="130" t="s">
        <v>1080</v>
      </c>
      <c r="C2316" s="124" t="s">
        <v>210</v>
      </c>
      <c r="D2316" s="124"/>
      <c r="E2316" s="134">
        <v>3000000</v>
      </c>
    </row>
    <row r="2317" spans="1:5" ht="15.75">
      <c r="A2317" s="126"/>
      <c r="B2317" s="130" t="s">
        <v>1081</v>
      </c>
      <c r="C2317" s="124" t="s">
        <v>210</v>
      </c>
      <c r="D2317" s="124"/>
      <c r="E2317" s="134">
        <v>4727273</v>
      </c>
    </row>
    <row r="2318" spans="1:5" ht="15.75">
      <c r="A2318" s="126"/>
      <c r="B2318" s="130" t="s">
        <v>1082</v>
      </c>
      <c r="C2318" s="124" t="s">
        <v>210</v>
      </c>
      <c r="D2318" s="124"/>
      <c r="E2318" s="134">
        <v>6090909</v>
      </c>
    </row>
    <row r="2319" spans="1:5" ht="15.75">
      <c r="A2319" s="126"/>
      <c r="B2319" s="130" t="s">
        <v>1083</v>
      </c>
      <c r="C2319" s="124" t="s">
        <v>210</v>
      </c>
      <c r="D2319" s="124"/>
      <c r="E2319" s="134">
        <v>2045455</v>
      </c>
    </row>
    <row r="2320" spans="1:5" ht="15.75">
      <c r="A2320" s="126"/>
      <c r="B2320" s="130" t="s">
        <v>1084</v>
      </c>
      <c r="C2320" s="124" t="s">
        <v>210</v>
      </c>
      <c r="D2320" s="124"/>
      <c r="E2320" s="134">
        <v>3500000</v>
      </c>
    </row>
    <row r="2321" spans="1:5" ht="15.75">
      <c r="A2321" s="131" t="s">
        <v>380</v>
      </c>
      <c r="B2321" s="145" t="s">
        <v>1143</v>
      </c>
      <c r="C2321" s="124"/>
      <c r="D2321" s="124"/>
      <c r="E2321" s="134"/>
    </row>
    <row r="2322" spans="1:5" ht="15.75">
      <c r="A2322" s="126"/>
      <c r="B2322" s="130" t="s">
        <v>1157</v>
      </c>
      <c r="C2322" s="124" t="s">
        <v>1142</v>
      </c>
      <c r="D2322" s="124"/>
      <c r="E2322" s="134">
        <v>818182</v>
      </c>
    </row>
    <row r="2323" spans="1:5" ht="15.75">
      <c r="A2323" s="126"/>
      <c r="B2323" s="130" t="s">
        <v>1158</v>
      </c>
      <c r="C2323" s="124" t="s">
        <v>1142</v>
      </c>
      <c r="D2323" s="124"/>
      <c r="E2323" s="134">
        <v>881818</v>
      </c>
    </row>
    <row r="2324" spans="1:5" ht="15.75">
      <c r="A2324" s="126"/>
      <c r="B2324" s="130" t="s">
        <v>1159</v>
      </c>
      <c r="C2324" s="124" t="s">
        <v>1142</v>
      </c>
      <c r="D2324" s="124"/>
      <c r="E2324" s="134">
        <v>836364</v>
      </c>
    </row>
    <row r="2325" spans="1:5" ht="15.75">
      <c r="A2325" s="126"/>
      <c r="B2325" s="130" t="s">
        <v>1160</v>
      </c>
      <c r="C2325" s="124" t="s">
        <v>1142</v>
      </c>
      <c r="D2325" s="124"/>
      <c r="E2325" s="134">
        <v>572572</v>
      </c>
    </row>
    <row r="2326" spans="1:5" ht="15.75">
      <c r="A2326" s="126"/>
      <c r="B2326" s="130" t="s">
        <v>1161</v>
      </c>
      <c r="C2326" s="124" t="s">
        <v>1142</v>
      </c>
      <c r="D2326" s="124"/>
      <c r="E2326" s="134">
        <v>354545</v>
      </c>
    </row>
    <row r="2327" spans="1:5" ht="15.75">
      <c r="A2327" s="126" t="s">
        <v>380</v>
      </c>
      <c r="B2327" s="145" t="s">
        <v>1144</v>
      </c>
      <c r="C2327" s="124"/>
      <c r="D2327" s="124"/>
      <c r="E2327" s="134"/>
    </row>
    <row r="2328" spans="1:5" ht="15.75">
      <c r="A2328" s="126"/>
      <c r="B2328" s="130" t="s">
        <v>1162</v>
      </c>
      <c r="C2328" s="124" t="s">
        <v>1142</v>
      </c>
      <c r="D2328" s="124"/>
      <c r="E2328" s="134">
        <v>1881818</v>
      </c>
    </row>
    <row r="2329" spans="1:5" ht="15.75">
      <c r="A2329" s="126"/>
      <c r="B2329" s="130" t="s">
        <v>1163</v>
      </c>
      <c r="C2329" s="124" t="s">
        <v>1142</v>
      </c>
      <c r="D2329" s="124"/>
      <c r="E2329" s="134">
        <v>1500000</v>
      </c>
    </row>
    <row r="2330" spans="1:5" ht="15.75">
      <c r="A2330" s="126"/>
      <c r="B2330" s="130" t="s">
        <v>1164</v>
      </c>
      <c r="C2330" s="124" t="s">
        <v>1142</v>
      </c>
      <c r="D2330" s="124"/>
      <c r="E2330" s="134">
        <v>1590909</v>
      </c>
    </row>
    <row r="2331" spans="1:5" ht="15.75">
      <c r="A2331" s="126"/>
      <c r="B2331" s="130" t="s">
        <v>1165</v>
      </c>
      <c r="C2331" s="124" t="s">
        <v>1142</v>
      </c>
      <c r="D2331" s="124"/>
      <c r="E2331" s="134">
        <v>3072727</v>
      </c>
    </row>
    <row r="2332" spans="1:5" ht="15.75">
      <c r="A2332" s="126"/>
      <c r="B2332" s="130" t="s">
        <v>1166</v>
      </c>
      <c r="C2332" s="124" t="s">
        <v>1142</v>
      </c>
      <c r="D2332" s="124"/>
      <c r="E2332" s="134">
        <v>2109091</v>
      </c>
    </row>
    <row r="2333" spans="1:5" ht="21.75" customHeight="1">
      <c r="A2333" s="131" t="s">
        <v>380</v>
      </c>
      <c r="B2333" s="159" t="s">
        <v>1145</v>
      </c>
      <c r="C2333" s="124"/>
      <c r="D2333" s="310" t="s">
        <v>2566</v>
      </c>
      <c r="E2333" s="134"/>
    </row>
    <row r="2334" spans="1:5" ht="15.75">
      <c r="A2334" s="131"/>
      <c r="B2334" s="145" t="s">
        <v>1146</v>
      </c>
      <c r="C2334" s="124"/>
      <c r="D2334" s="124"/>
      <c r="E2334" s="134"/>
    </row>
    <row r="2335" spans="1:5" ht="15.75">
      <c r="A2335" s="126"/>
      <c r="B2335" s="130" t="s">
        <v>1168</v>
      </c>
      <c r="C2335" s="124" t="s">
        <v>684</v>
      </c>
      <c r="D2335" s="124"/>
      <c r="E2335" s="134">
        <v>5909</v>
      </c>
    </row>
    <row r="2336" spans="1:5" ht="15.75">
      <c r="A2336" s="126"/>
      <c r="B2336" s="130" t="s">
        <v>1169</v>
      </c>
      <c r="C2336" s="124" t="s">
        <v>684</v>
      </c>
      <c r="D2336" s="124"/>
      <c r="E2336" s="134">
        <v>16364</v>
      </c>
    </row>
    <row r="2337" spans="1:5" ht="15.75">
      <c r="A2337" s="126"/>
      <c r="B2337" s="130" t="s">
        <v>1154</v>
      </c>
      <c r="C2337" s="124" t="s">
        <v>684</v>
      </c>
      <c r="D2337" s="124"/>
      <c r="E2337" s="134">
        <v>29545</v>
      </c>
    </row>
    <row r="2338" spans="1:5" ht="15.75">
      <c r="A2338" s="126"/>
      <c r="B2338" s="130" t="s">
        <v>1155</v>
      </c>
      <c r="C2338" s="124" t="s">
        <v>684</v>
      </c>
      <c r="D2338" s="124"/>
      <c r="E2338" s="134">
        <v>54545</v>
      </c>
    </row>
    <row r="2339" spans="1:5" ht="15.75">
      <c r="A2339" s="126"/>
      <c r="B2339" s="145" t="s">
        <v>1148</v>
      </c>
      <c r="C2339" s="124"/>
      <c r="D2339" s="124"/>
      <c r="E2339" s="134"/>
    </row>
    <row r="2340" spans="1:5" ht="17.25" customHeight="1">
      <c r="A2340" s="126"/>
      <c r="B2340" s="130" t="s">
        <v>1168</v>
      </c>
      <c r="C2340" s="124" t="s">
        <v>684</v>
      </c>
      <c r="D2340" s="124"/>
      <c r="E2340" s="134">
        <v>7727</v>
      </c>
    </row>
    <row r="2341" spans="1:5" ht="15.75">
      <c r="A2341" s="126"/>
      <c r="B2341" s="130" t="s">
        <v>1169</v>
      </c>
      <c r="C2341" s="124" t="s">
        <v>684</v>
      </c>
      <c r="D2341" s="124"/>
      <c r="E2341" s="134">
        <v>21818</v>
      </c>
    </row>
    <row r="2342" spans="1:5" ht="15.75">
      <c r="A2342" s="126"/>
      <c r="B2342" s="130" t="s">
        <v>1154</v>
      </c>
      <c r="C2342" s="124" t="s">
        <v>684</v>
      </c>
      <c r="D2342" s="124"/>
      <c r="E2342" s="134">
        <v>39091</v>
      </c>
    </row>
    <row r="2343" spans="1:5" ht="15.75">
      <c r="A2343" s="126"/>
      <c r="B2343" s="130" t="s">
        <v>1155</v>
      </c>
      <c r="C2343" s="124" t="s">
        <v>684</v>
      </c>
      <c r="D2343" s="124"/>
      <c r="E2343" s="134">
        <v>71818</v>
      </c>
    </row>
    <row r="2344" spans="1:5" ht="15.75">
      <c r="A2344" s="126"/>
      <c r="B2344" s="145" t="s">
        <v>1149</v>
      </c>
      <c r="C2344" s="124"/>
      <c r="D2344" s="124"/>
      <c r="E2344" s="134"/>
    </row>
    <row r="2345" spans="1:5" ht="15.75">
      <c r="A2345" s="126"/>
      <c r="B2345" s="130" t="s">
        <v>1168</v>
      </c>
      <c r="C2345" s="124" t="s">
        <v>684</v>
      </c>
      <c r="D2345" s="124"/>
      <c r="E2345" s="134">
        <v>9545</v>
      </c>
    </row>
    <row r="2346" spans="1:5" ht="15.75">
      <c r="A2346" s="126"/>
      <c r="B2346" s="130" t="s">
        <v>1169</v>
      </c>
      <c r="C2346" s="124" t="s">
        <v>684</v>
      </c>
      <c r="D2346" s="124"/>
      <c r="E2346" s="134">
        <v>26364</v>
      </c>
    </row>
    <row r="2347" spans="1:5" ht="15.75">
      <c r="A2347" s="126"/>
      <c r="B2347" s="130" t="s">
        <v>1154</v>
      </c>
      <c r="C2347" s="124" t="s">
        <v>684</v>
      </c>
      <c r="D2347" s="124"/>
      <c r="E2347" s="134">
        <v>50909</v>
      </c>
    </row>
    <row r="2348" spans="1:5" ht="15.75">
      <c r="A2348" s="126"/>
      <c r="B2348" s="130" t="s">
        <v>1155</v>
      </c>
      <c r="C2348" s="124" t="s">
        <v>684</v>
      </c>
      <c r="D2348" s="124"/>
      <c r="E2348" s="134">
        <v>81818</v>
      </c>
    </row>
    <row r="2349" spans="1:5" ht="15.75">
      <c r="A2349" s="126"/>
      <c r="B2349" s="145" t="s">
        <v>1147</v>
      </c>
      <c r="C2349" s="124"/>
      <c r="D2349" s="124"/>
      <c r="E2349" s="134"/>
    </row>
    <row r="2350" spans="1:5" ht="15.75">
      <c r="A2350" s="126"/>
      <c r="B2350" s="130" t="s">
        <v>1151</v>
      </c>
      <c r="C2350" s="124" t="s">
        <v>684</v>
      </c>
      <c r="D2350" s="124"/>
      <c r="E2350" s="134">
        <v>21273</v>
      </c>
    </row>
    <row r="2351" spans="1:5" ht="15.75">
      <c r="A2351" s="126"/>
      <c r="B2351" s="130" t="s">
        <v>1153</v>
      </c>
      <c r="C2351" s="124" t="s">
        <v>684</v>
      </c>
      <c r="D2351" s="124"/>
      <c r="E2351" s="134">
        <v>65909</v>
      </c>
    </row>
    <row r="2352" spans="1:5" ht="15.75">
      <c r="A2352" s="126"/>
      <c r="B2352" s="130" t="s">
        <v>1154</v>
      </c>
      <c r="C2352" s="124" t="s">
        <v>684</v>
      </c>
      <c r="D2352" s="124"/>
      <c r="E2352" s="134">
        <v>213636</v>
      </c>
    </row>
    <row r="2353" spans="1:5" ht="15.75">
      <c r="A2353" s="126"/>
      <c r="B2353" s="130" t="s">
        <v>1155</v>
      </c>
      <c r="C2353" s="124" t="s">
        <v>684</v>
      </c>
      <c r="D2353" s="124"/>
      <c r="E2353" s="134">
        <v>499091</v>
      </c>
    </row>
    <row r="2354" spans="1:5" ht="15.75">
      <c r="A2354" s="126"/>
      <c r="B2354" s="145" t="s">
        <v>1150</v>
      </c>
      <c r="C2354" s="124"/>
      <c r="D2354" s="124"/>
      <c r="E2354" s="134"/>
    </row>
    <row r="2355" spans="1:5" ht="15.75">
      <c r="A2355" s="126"/>
      <c r="B2355" s="130" t="s">
        <v>1151</v>
      </c>
      <c r="C2355" s="124" t="s">
        <v>684</v>
      </c>
      <c r="D2355" s="124"/>
      <c r="E2355" s="134">
        <v>26273</v>
      </c>
    </row>
    <row r="2356" spans="1:5" ht="15.75">
      <c r="A2356" s="126"/>
      <c r="B2356" s="130" t="s">
        <v>1153</v>
      </c>
      <c r="C2356" s="124" t="s">
        <v>684</v>
      </c>
      <c r="D2356" s="124"/>
      <c r="E2356" s="134">
        <v>105000</v>
      </c>
    </row>
    <row r="2357" spans="1:5" ht="15.75">
      <c r="A2357" s="126"/>
      <c r="B2357" s="130" t="s">
        <v>1154</v>
      </c>
      <c r="C2357" s="124" t="s">
        <v>684</v>
      </c>
      <c r="D2357" s="124"/>
      <c r="E2357" s="134">
        <v>356364</v>
      </c>
    </row>
    <row r="2358" spans="1:5" ht="15.75">
      <c r="A2358" s="126"/>
      <c r="B2358" s="130" t="s">
        <v>1155</v>
      </c>
      <c r="C2358" s="124" t="s">
        <v>684</v>
      </c>
      <c r="D2358" s="124"/>
      <c r="E2358" s="134">
        <v>750000</v>
      </c>
    </row>
    <row r="2359" spans="1:5" ht="15.75">
      <c r="A2359" s="126"/>
      <c r="B2359" s="145" t="s">
        <v>1156</v>
      </c>
      <c r="C2359" s="124"/>
      <c r="D2359" s="124"/>
      <c r="E2359" s="134"/>
    </row>
    <row r="2360" spans="1:5" ht="15.75">
      <c r="A2360" s="126"/>
      <c r="B2360" s="130" t="s">
        <v>1151</v>
      </c>
      <c r="C2360" s="124" t="s">
        <v>684</v>
      </c>
      <c r="D2360" s="124"/>
      <c r="E2360" s="134">
        <v>29091</v>
      </c>
    </row>
    <row r="2361" spans="1:5" ht="15.75">
      <c r="A2361" s="126"/>
      <c r="B2361" s="130" t="s">
        <v>1153</v>
      </c>
      <c r="C2361" s="124" t="s">
        <v>684</v>
      </c>
      <c r="D2361" s="124"/>
      <c r="E2361" s="134">
        <v>114000</v>
      </c>
    </row>
    <row r="2362" spans="1:5" ht="15.75">
      <c r="A2362" s="126"/>
      <c r="B2362" s="130" t="s">
        <v>1154</v>
      </c>
      <c r="C2362" s="124" t="s">
        <v>684</v>
      </c>
      <c r="D2362" s="124"/>
      <c r="E2362" s="134">
        <v>404545</v>
      </c>
    </row>
    <row r="2363" spans="1:5" ht="15.75">
      <c r="A2363" s="126"/>
      <c r="B2363" s="130" t="s">
        <v>1155</v>
      </c>
      <c r="C2363" s="124" t="s">
        <v>684</v>
      </c>
      <c r="D2363" s="124"/>
      <c r="E2363" s="134">
        <v>863636</v>
      </c>
    </row>
    <row r="2364" spans="1:5" ht="15.75">
      <c r="A2364" s="126"/>
      <c r="B2364" s="145" t="s">
        <v>1172</v>
      </c>
      <c r="C2364" s="124"/>
      <c r="D2364" s="124"/>
      <c r="E2364" s="134"/>
    </row>
    <row r="2365" spans="1:5" ht="15.75">
      <c r="A2365" s="126"/>
      <c r="B2365" s="130" t="s">
        <v>1152</v>
      </c>
      <c r="C2365" s="124" t="s">
        <v>684</v>
      </c>
      <c r="D2365" s="124"/>
      <c r="E2365" s="134">
        <v>8480</v>
      </c>
    </row>
    <row r="2366" spans="1:5" ht="15.75">
      <c r="A2366" s="126"/>
      <c r="B2366" s="130" t="s">
        <v>1153</v>
      </c>
      <c r="C2366" s="124" t="s">
        <v>684</v>
      </c>
      <c r="D2366" s="124"/>
      <c r="E2366" s="134">
        <v>19091</v>
      </c>
    </row>
    <row r="2367" spans="1:5" ht="15.75">
      <c r="A2367" s="126"/>
      <c r="B2367" s="130" t="s">
        <v>1154</v>
      </c>
      <c r="C2367" s="124" t="s">
        <v>684</v>
      </c>
      <c r="D2367" s="124"/>
      <c r="E2367" s="134">
        <v>64545</v>
      </c>
    </row>
    <row r="2368" spans="1:5" ht="15.75">
      <c r="A2368" s="126"/>
      <c r="B2368" s="130" t="s">
        <v>1155</v>
      </c>
      <c r="C2368" s="124" t="s">
        <v>684</v>
      </c>
      <c r="D2368" s="124"/>
      <c r="E2368" s="134">
        <v>136364</v>
      </c>
    </row>
    <row r="2369" spans="1:5" ht="15.75">
      <c r="A2369" s="126"/>
      <c r="B2369" s="145" t="s">
        <v>1173</v>
      </c>
      <c r="C2369" s="124"/>
      <c r="D2369" s="124"/>
      <c r="E2369" s="134"/>
    </row>
    <row r="2370" spans="1:5" ht="15.75">
      <c r="A2370" s="126"/>
      <c r="B2370" s="130" t="s">
        <v>1152</v>
      </c>
      <c r="C2370" s="124" t="s">
        <v>684</v>
      </c>
      <c r="D2370" s="124"/>
      <c r="E2370" s="134">
        <v>10993</v>
      </c>
    </row>
    <row r="2371" spans="1:5" ht="15.75">
      <c r="A2371" s="126"/>
      <c r="B2371" s="130" t="s">
        <v>1153</v>
      </c>
      <c r="C2371" s="124" t="s">
        <v>684</v>
      </c>
      <c r="D2371" s="124"/>
      <c r="E2371" s="134">
        <v>22727</v>
      </c>
    </row>
    <row r="2372" spans="1:5" ht="15.75">
      <c r="A2372" s="126"/>
      <c r="B2372" s="130" t="s">
        <v>1154</v>
      </c>
      <c r="C2372" s="124" t="s">
        <v>684</v>
      </c>
      <c r="D2372" s="124"/>
      <c r="E2372" s="134">
        <v>80000</v>
      </c>
    </row>
    <row r="2373" spans="1:5" ht="15.75">
      <c r="A2373" s="126"/>
      <c r="B2373" s="130" t="s">
        <v>1155</v>
      </c>
      <c r="C2373" s="124" t="s">
        <v>684</v>
      </c>
      <c r="D2373" s="124"/>
      <c r="E2373" s="134">
        <v>172727</v>
      </c>
    </row>
    <row r="2374" spans="1:5" ht="15.75">
      <c r="A2374" s="126"/>
      <c r="B2374" s="145" t="s">
        <v>1170</v>
      </c>
      <c r="C2374" s="124"/>
      <c r="D2374" s="124"/>
      <c r="E2374" s="134"/>
    </row>
    <row r="2375" spans="1:5" ht="15.75">
      <c r="A2375" s="126"/>
      <c r="B2375" s="130" t="s">
        <v>1152</v>
      </c>
      <c r="C2375" s="124" t="s">
        <v>684</v>
      </c>
      <c r="D2375" s="124"/>
      <c r="E2375" s="134">
        <v>10909</v>
      </c>
    </row>
    <row r="2376" spans="1:5" ht="15.75">
      <c r="A2376" s="126"/>
      <c r="B2376" s="130" t="s">
        <v>1153</v>
      </c>
      <c r="C2376" s="124" t="s">
        <v>684</v>
      </c>
      <c r="D2376" s="124"/>
      <c r="E2376" s="134">
        <v>27273</v>
      </c>
    </row>
    <row r="2377" spans="1:5" ht="15.75">
      <c r="A2377" s="126"/>
      <c r="B2377" s="130" t="s">
        <v>1154</v>
      </c>
      <c r="C2377" s="124" t="s">
        <v>684</v>
      </c>
      <c r="D2377" s="124"/>
      <c r="E2377" s="134">
        <v>96364</v>
      </c>
    </row>
    <row r="2378" spans="1:5" ht="15.75">
      <c r="A2378" s="126"/>
      <c r="B2378" s="130" t="s">
        <v>1155</v>
      </c>
      <c r="C2378" s="124" t="s">
        <v>684</v>
      </c>
      <c r="D2378" s="124"/>
      <c r="E2378" s="134">
        <v>204545</v>
      </c>
    </row>
    <row r="2379" spans="1:5" ht="15.75">
      <c r="A2379" s="126"/>
      <c r="B2379" s="145" t="s">
        <v>1171</v>
      </c>
      <c r="C2379" s="124"/>
      <c r="D2379" s="124"/>
      <c r="E2379" s="134"/>
    </row>
    <row r="2380" spans="1:5" ht="15.75">
      <c r="A2380" s="126"/>
      <c r="B2380" s="130" t="s">
        <v>1152</v>
      </c>
      <c r="C2380" s="124" t="s">
        <v>684</v>
      </c>
      <c r="D2380" s="124"/>
      <c r="E2380" s="134">
        <v>7538</v>
      </c>
    </row>
    <row r="2381" spans="1:5" ht="15.75">
      <c r="A2381" s="126"/>
      <c r="B2381" s="130" t="s">
        <v>1153</v>
      </c>
      <c r="C2381" s="124" t="s">
        <v>684</v>
      </c>
      <c r="D2381" s="124"/>
      <c r="E2381" s="134">
        <v>20098</v>
      </c>
    </row>
    <row r="2382" spans="1:5" ht="15.75">
      <c r="A2382" s="126"/>
      <c r="B2382" s="130" t="s">
        <v>1197</v>
      </c>
      <c r="C2382" s="124" t="s">
        <v>684</v>
      </c>
      <c r="D2382" s="124"/>
      <c r="E2382" s="134">
        <v>50091</v>
      </c>
    </row>
    <row r="2383" spans="1:5" ht="15.75">
      <c r="A2383" s="126"/>
      <c r="B2383" s="130" t="s">
        <v>1155</v>
      </c>
      <c r="C2383" s="124" t="s">
        <v>684</v>
      </c>
      <c r="D2383" s="124"/>
      <c r="E2383" s="134">
        <v>109091</v>
      </c>
    </row>
    <row r="2384" spans="1:5" ht="15.75">
      <c r="A2384" s="131" t="s">
        <v>380</v>
      </c>
      <c r="B2384" s="145" t="s">
        <v>1198</v>
      </c>
      <c r="C2384" s="124"/>
      <c r="D2384" s="124"/>
      <c r="E2384" s="134"/>
    </row>
    <row r="2385" spans="1:5" ht="15.75">
      <c r="A2385" s="126"/>
      <c r="B2385" s="145" t="s">
        <v>1167</v>
      </c>
      <c r="C2385" s="124"/>
      <c r="D2385" s="124"/>
      <c r="E2385" s="134"/>
    </row>
    <row r="2386" spans="1:5" ht="15.75">
      <c r="A2386" s="126"/>
      <c r="B2386" s="165">
        <v>21</v>
      </c>
      <c r="C2386" s="124" t="s">
        <v>393</v>
      </c>
      <c r="D2386" s="124"/>
      <c r="E2386" s="134">
        <v>1273</v>
      </c>
    </row>
    <row r="2387" spans="1:5" ht="15.75">
      <c r="A2387" s="126"/>
      <c r="B2387" s="165">
        <v>34</v>
      </c>
      <c r="C2387" s="124" t="s">
        <v>393</v>
      </c>
      <c r="D2387" s="124"/>
      <c r="E2387" s="134">
        <v>4727</v>
      </c>
    </row>
    <row r="2388" spans="1:5" ht="15.75">
      <c r="A2388" s="126"/>
      <c r="B2388" s="165">
        <v>75</v>
      </c>
      <c r="C2388" s="124" t="s">
        <v>393</v>
      </c>
      <c r="D2388" s="124"/>
      <c r="E2388" s="134">
        <v>19273</v>
      </c>
    </row>
    <row r="2389" spans="1:5" ht="15.75">
      <c r="A2389" s="126"/>
      <c r="B2389" s="165">
        <v>110</v>
      </c>
      <c r="C2389" s="124" t="s">
        <v>393</v>
      </c>
      <c r="D2389" s="124"/>
      <c r="E2389" s="134">
        <v>43636</v>
      </c>
    </row>
    <row r="2390" spans="1:5" ht="15.75">
      <c r="A2390" s="126"/>
      <c r="B2390" s="145" t="s">
        <v>1174</v>
      </c>
      <c r="C2390" s="124"/>
      <c r="D2390" s="124"/>
      <c r="E2390" s="134"/>
    </row>
    <row r="2391" spans="1:5" ht="15.75">
      <c r="A2391" s="126"/>
      <c r="B2391" s="165">
        <v>21</v>
      </c>
      <c r="C2391" s="124" t="s">
        <v>393</v>
      </c>
      <c r="D2391" s="124"/>
      <c r="E2391" s="134">
        <v>3455</v>
      </c>
    </row>
    <row r="2392" spans="1:5" ht="15.75">
      <c r="A2392" s="126"/>
      <c r="B2392" s="165">
        <v>34</v>
      </c>
      <c r="C2392" s="124" t="s">
        <v>393</v>
      </c>
      <c r="D2392" s="124"/>
      <c r="E2392" s="134">
        <v>4364</v>
      </c>
    </row>
    <row r="2393" spans="1:5" ht="15.75">
      <c r="A2393" s="126"/>
      <c r="B2393" s="165">
        <v>75</v>
      </c>
      <c r="C2393" s="124" t="s">
        <v>393</v>
      </c>
      <c r="D2393" s="124"/>
      <c r="E2393" s="134">
        <v>24727</v>
      </c>
    </row>
    <row r="2394" spans="1:5" ht="15.75">
      <c r="A2394" s="126"/>
      <c r="B2394" s="165">
        <v>110</v>
      </c>
      <c r="C2394" s="124" t="s">
        <v>393</v>
      </c>
      <c r="D2394" s="124"/>
      <c r="E2394" s="134">
        <v>58182</v>
      </c>
    </row>
    <row r="2395" spans="1:5" ht="15.75">
      <c r="A2395" s="126"/>
      <c r="B2395" s="145" t="s">
        <v>1175</v>
      </c>
      <c r="C2395" s="124"/>
      <c r="D2395" s="124"/>
      <c r="E2395" s="134"/>
    </row>
    <row r="2396" spans="1:5" ht="15.75">
      <c r="A2396" s="126"/>
      <c r="B2396" s="165">
        <v>21</v>
      </c>
      <c r="C2396" s="124" t="s">
        <v>393</v>
      </c>
      <c r="D2396" s="124"/>
      <c r="E2396" s="134">
        <v>1273</v>
      </c>
    </row>
    <row r="2397" spans="1:5" ht="15.75">
      <c r="A2397" s="126"/>
      <c r="B2397" s="165">
        <v>34</v>
      </c>
      <c r="C2397" s="124" t="s">
        <v>393</v>
      </c>
      <c r="D2397" s="124"/>
      <c r="E2397" s="134">
        <v>2182</v>
      </c>
    </row>
    <row r="2398" spans="1:5" ht="15.75">
      <c r="A2398" s="126"/>
      <c r="B2398" s="165">
        <v>75</v>
      </c>
      <c r="C2398" s="124" t="s">
        <v>393</v>
      </c>
      <c r="D2398" s="124"/>
      <c r="E2398" s="134">
        <v>16364</v>
      </c>
    </row>
    <row r="2399" spans="1:5" ht="15.75">
      <c r="A2399" s="126"/>
      <c r="B2399" s="165">
        <v>110</v>
      </c>
      <c r="C2399" s="124" t="s">
        <v>393</v>
      </c>
      <c r="D2399" s="124"/>
      <c r="E2399" s="134">
        <v>32727</v>
      </c>
    </row>
    <row r="2400" spans="1:5" ht="15.75">
      <c r="A2400" s="126"/>
      <c r="B2400" s="145" t="s">
        <v>1177</v>
      </c>
      <c r="C2400" s="124"/>
      <c r="D2400" s="124"/>
      <c r="E2400" s="134"/>
    </row>
    <row r="2401" spans="1:5" ht="15.75">
      <c r="A2401" s="126"/>
      <c r="B2401" s="165">
        <v>21</v>
      </c>
      <c r="C2401" s="124" t="s">
        <v>393</v>
      </c>
      <c r="D2401" s="124"/>
      <c r="E2401" s="134">
        <v>1571</v>
      </c>
    </row>
    <row r="2402" spans="1:5" ht="15.75">
      <c r="A2402" s="126"/>
      <c r="B2402" s="165">
        <v>34</v>
      </c>
      <c r="C2402" s="124" t="s">
        <v>393</v>
      </c>
      <c r="D2402" s="124"/>
      <c r="E2402" s="134">
        <v>2198</v>
      </c>
    </row>
    <row r="2403" spans="1:5" ht="15.75">
      <c r="A2403" s="126"/>
      <c r="B2403" s="165">
        <v>75</v>
      </c>
      <c r="C2403" s="124" t="s">
        <v>393</v>
      </c>
      <c r="D2403" s="124"/>
      <c r="E2403" s="134">
        <v>10678</v>
      </c>
    </row>
    <row r="2404" spans="1:5" ht="15.75">
      <c r="A2404" s="126"/>
      <c r="B2404" s="165">
        <v>110</v>
      </c>
      <c r="C2404" s="124" t="s">
        <v>393</v>
      </c>
      <c r="D2404" s="124"/>
      <c r="E2404" s="134">
        <v>24496</v>
      </c>
    </row>
    <row r="2405" spans="1:5" ht="15.75">
      <c r="A2405" s="126"/>
      <c r="B2405" s="145" t="s">
        <v>1176</v>
      </c>
      <c r="C2405" s="124"/>
      <c r="D2405" s="124"/>
      <c r="E2405" s="134"/>
    </row>
    <row r="2406" spans="1:5" ht="15.75">
      <c r="A2406" s="126"/>
      <c r="B2406" s="130" t="s">
        <v>1178</v>
      </c>
      <c r="C2406" s="124" t="s">
        <v>393</v>
      </c>
      <c r="D2406" s="124"/>
      <c r="E2406" s="134">
        <v>1105</v>
      </c>
    </row>
    <row r="2407" spans="1:5" ht="15.75">
      <c r="A2407" s="126"/>
      <c r="B2407" s="130" t="s">
        <v>1179</v>
      </c>
      <c r="C2407" s="124" t="s">
        <v>393</v>
      </c>
      <c r="D2407" s="124"/>
      <c r="E2407" s="134">
        <v>2380</v>
      </c>
    </row>
    <row r="2408" spans="1:5" ht="15.75">
      <c r="A2408" s="126"/>
      <c r="B2408" s="130" t="s">
        <v>1180</v>
      </c>
      <c r="C2408" s="124" t="s">
        <v>393</v>
      </c>
      <c r="D2408" s="124"/>
      <c r="E2408" s="134">
        <v>8500</v>
      </c>
    </row>
    <row r="2409" spans="1:5" ht="15.75">
      <c r="A2409" s="126"/>
      <c r="B2409" s="130" t="s">
        <v>1181</v>
      </c>
      <c r="C2409" s="124" t="s">
        <v>393</v>
      </c>
      <c r="D2409" s="124"/>
      <c r="E2409" s="134">
        <v>18700</v>
      </c>
    </row>
    <row r="2410" spans="1:5" ht="15.75">
      <c r="A2410" s="126"/>
      <c r="B2410" s="145" t="s">
        <v>1182</v>
      </c>
      <c r="C2410" s="124"/>
      <c r="D2410" s="124"/>
      <c r="E2410" s="134"/>
    </row>
    <row r="2411" spans="1:5" ht="15.75">
      <c r="A2411" s="126"/>
      <c r="B2411" s="130" t="s">
        <v>1178</v>
      </c>
      <c r="C2411" s="124" t="s">
        <v>393</v>
      </c>
      <c r="D2411" s="124"/>
      <c r="E2411" s="134">
        <v>2380</v>
      </c>
    </row>
    <row r="2412" spans="1:5" ht="15.75">
      <c r="A2412" s="126"/>
      <c r="B2412" s="130" t="s">
        <v>1179</v>
      </c>
      <c r="C2412" s="124" t="s">
        <v>393</v>
      </c>
      <c r="D2412" s="124"/>
      <c r="E2412" s="134">
        <v>5100</v>
      </c>
    </row>
    <row r="2413" spans="1:5" ht="15.75">
      <c r="A2413" s="126"/>
      <c r="B2413" s="130" t="s">
        <v>1180</v>
      </c>
      <c r="C2413" s="124" t="s">
        <v>393</v>
      </c>
      <c r="D2413" s="124"/>
      <c r="E2413" s="134">
        <v>18700</v>
      </c>
    </row>
    <row r="2414" spans="1:5" ht="15.75">
      <c r="A2414" s="126"/>
      <c r="B2414" s="130" t="s">
        <v>1216</v>
      </c>
      <c r="C2414" s="124" t="s">
        <v>393</v>
      </c>
      <c r="D2414" s="124"/>
      <c r="E2414" s="134">
        <v>69200</v>
      </c>
    </row>
    <row r="2415" spans="1:5" ht="15.75">
      <c r="A2415" s="126"/>
      <c r="B2415" s="145" t="s">
        <v>1183</v>
      </c>
      <c r="C2415" s="124"/>
      <c r="D2415" s="124"/>
      <c r="E2415" s="134"/>
    </row>
    <row r="2416" spans="1:5" ht="15.75">
      <c r="A2416" s="126"/>
      <c r="B2416" s="165">
        <v>48</v>
      </c>
      <c r="C2416" s="124" t="s">
        <v>393</v>
      </c>
      <c r="D2416" s="124"/>
      <c r="E2416" s="134">
        <v>5455</v>
      </c>
    </row>
    <row r="2417" spans="1:5" ht="15.75">
      <c r="A2417" s="126"/>
      <c r="B2417" s="165">
        <v>75</v>
      </c>
      <c r="C2417" s="124" t="s">
        <v>393</v>
      </c>
      <c r="D2417" s="124"/>
      <c r="E2417" s="134">
        <v>12000</v>
      </c>
    </row>
    <row r="2418" spans="1:5" ht="15.75">
      <c r="A2418" s="126"/>
      <c r="B2418" s="165">
        <v>110</v>
      </c>
      <c r="C2418" s="124" t="s">
        <v>393</v>
      </c>
      <c r="D2418" s="124"/>
      <c r="E2418" s="134">
        <v>30909</v>
      </c>
    </row>
    <row r="2419" spans="1:5" ht="15.75">
      <c r="A2419" s="126"/>
      <c r="B2419" s="165" t="s">
        <v>1184</v>
      </c>
      <c r="C2419" s="124" t="s">
        <v>393</v>
      </c>
      <c r="D2419" s="124"/>
      <c r="E2419" s="134">
        <v>545</v>
      </c>
    </row>
    <row r="2420" spans="1:5" ht="15.75">
      <c r="A2420" s="126"/>
      <c r="B2420" s="165" t="s">
        <v>1185</v>
      </c>
      <c r="C2420" s="124" t="s">
        <v>393</v>
      </c>
      <c r="D2420" s="124"/>
      <c r="E2420" s="134">
        <v>1818</v>
      </c>
    </row>
    <row r="2421" spans="1:5" ht="15.75">
      <c r="A2421" s="126"/>
      <c r="B2421" s="164" t="s">
        <v>1186</v>
      </c>
      <c r="C2421" s="124"/>
      <c r="D2421" s="124"/>
      <c r="E2421" s="134"/>
    </row>
    <row r="2422" spans="1:5" ht="15.75">
      <c r="A2422" s="126"/>
      <c r="B2422" s="165">
        <v>42</v>
      </c>
      <c r="C2422" s="124" t="s">
        <v>393</v>
      </c>
      <c r="D2422" s="124"/>
      <c r="E2422" s="134">
        <v>7273</v>
      </c>
    </row>
    <row r="2423" spans="1:5" ht="15.75">
      <c r="A2423" s="126"/>
      <c r="B2423" s="165">
        <v>75</v>
      </c>
      <c r="C2423" s="124" t="s">
        <v>393</v>
      </c>
      <c r="D2423" s="124"/>
      <c r="E2423" s="134">
        <v>34545</v>
      </c>
    </row>
    <row r="2424" spans="1:5" ht="15.75">
      <c r="A2424" s="126"/>
      <c r="B2424" s="165">
        <v>110</v>
      </c>
      <c r="C2424" s="124" t="s">
        <v>393</v>
      </c>
      <c r="D2424" s="124"/>
      <c r="E2424" s="134">
        <v>65455</v>
      </c>
    </row>
    <row r="2425" spans="1:5" ht="15.75">
      <c r="A2425" s="126"/>
      <c r="B2425" s="130" t="s">
        <v>1188</v>
      </c>
      <c r="C2425" s="124" t="s">
        <v>393</v>
      </c>
      <c r="D2425" s="124"/>
      <c r="E2425" s="134">
        <v>127273</v>
      </c>
    </row>
    <row r="2426" spans="1:5" ht="15.75">
      <c r="A2426" s="126"/>
      <c r="B2426" s="164" t="s">
        <v>1187</v>
      </c>
      <c r="C2426" s="124"/>
      <c r="D2426" s="124"/>
      <c r="E2426" s="134"/>
    </row>
    <row r="2427" spans="1:5" ht="15.75">
      <c r="A2427" s="126"/>
      <c r="B2427" s="165" t="s">
        <v>1217</v>
      </c>
      <c r="C2427" s="124" t="s">
        <v>393</v>
      </c>
      <c r="D2427" s="124"/>
      <c r="E2427" s="134">
        <v>1400</v>
      </c>
    </row>
    <row r="2428" spans="1:5" ht="15.75">
      <c r="A2428" s="126"/>
      <c r="B2428" s="165" t="s">
        <v>1218</v>
      </c>
      <c r="C2428" s="124" t="s">
        <v>393</v>
      </c>
      <c r="D2428" s="124"/>
      <c r="E2428" s="134">
        <v>5400</v>
      </c>
    </row>
    <row r="2429" spans="1:5" ht="15.75">
      <c r="A2429" s="126"/>
      <c r="B2429" s="165" t="s">
        <v>1189</v>
      </c>
      <c r="C2429" s="124" t="s">
        <v>393</v>
      </c>
      <c r="D2429" s="124"/>
      <c r="E2429" s="134">
        <v>2400</v>
      </c>
    </row>
    <row r="2430" spans="1:5" ht="15.75">
      <c r="A2430" s="126"/>
      <c r="B2430" s="165" t="s">
        <v>1190</v>
      </c>
      <c r="C2430" s="124" t="s">
        <v>393</v>
      </c>
      <c r="D2430" s="124"/>
      <c r="E2430" s="134">
        <v>8364</v>
      </c>
    </row>
    <row r="2431" spans="1:5" ht="15.75">
      <c r="A2431" s="126"/>
      <c r="B2431" s="165" t="s">
        <v>1191</v>
      </c>
      <c r="C2431" s="124" t="s">
        <v>393</v>
      </c>
      <c r="D2431" s="124"/>
      <c r="E2431" s="134">
        <v>29091</v>
      </c>
    </row>
    <row r="2432" spans="1:5" ht="15.75">
      <c r="A2432" s="126" t="s">
        <v>380</v>
      </c>
      <c r="B2432" s="145" t="s">
        <v>1199</v>
      </c>
      <c r="C2432" s="124"/>
      <c r="D2432" s="124"/>
      <c r="E2432" s="134"/>
    </row>
    <row r="2433" spans="1:5" ht="15.75">
      <c r="A2433" s="126"/>
      <c r="B2433" s="164" t="s">
        <v>1192</v>
      </c>
      <c r="C2433" s="124" t="s">
        <v>393</v>
      </c>
      <c r="D2433" s="124"/>
      <c r="E2433" s="134">
        <v>7000</v>
      </c>
    </row>
    <row r="2434" spans="1:5" ht="15.75">
      <c r="A2434" s="126"/>
      <c r="B2434" s="165">
        <v>63</v>
      </c>
      <c r="C2434" s="124" t="s">
        <v>393</v>
      </c>
      <c r="D2434" s="124"/>
      <c r="E2434" s="134">
        <v>107455</v>
      </c>
    </row>
    <row r="2435" spans="1:5" ht="15.75">
      <c r="A2435" s="126"/>
      <c r="B2435" s="165">
        <v>110</v>
      </c>
      <c r="C2435" s="124" t="s">
        <v>393</v>
      </c>
      <c r="D2435" s="124"/>
      <c r="E2435" s="134">
        <v>440909</v>
      </c>
    </row>
    <row r="2436" spans="1:5" ht="15.75">
      <c r="A2436" s="126"/>
      <c r="B2436" s="164" t="s">
        <v>1193</v>
      </c>
      <c r="C2436" s="124" t="s">
        <v>393</v>
      </c>
      <c r="D2436" s="124"/>
      <c r="E2436" s="134">
        <v>9545</v>
      </c>
    </row>
    <row r="2437" spans="1:5" ht="15.75">
      <c r="A2437" s="126"/>
      <c r="B2437" s="165">
        <v>63</v>
      </c>
      <c r="C2437" s="124" t="s">
        <v>393</v>
      </c>
      <c r="D2437" s="124"/>
      <c r="E2437" s="134">
        <v>120909</v>
      </c>
    </row>
    <row r="2438" spans="1:5" ht="15.75">
      <c r="A2438" s="126"/>
      <c r="B2438" s="165">
        <v>110</v>
      </c>
      <c r="C2438" s="124" t="s">
        <v>393</v>
      </c>
      <c r="D2438" s="124"/>
      <c r="E2438" s="134">
        <v>436364</v>
      </c>
    </row>
    <row r="2439" spans="1:5" ht="15.75">
      <c r="A2439" s="126"/>
      <c r="B2439" s="164" t="s">
        <v>1194</v>
      </c>
      <c r="C2439" s="124" t="s">
        <v>393</v>
      </c>
      <c r="D2439" s="124"/>
      <c r="E2439" s="134">
        <v>7000</v>
      </c>
    </row>
    <row r="2440" spans="1:5" ht="15.75">
      <c r="A2440" s="126"/>
      <c r="B2440" s="165">
        <v>63</v>
      </c>
      <c r="C2440" s="124" t="s">
        <v>393</v>
      </c>
      <c r="D2440" s="124"/>
      <c r="E2440" s="134">
        <v>91818</v>
      </c>
    </row>
    <row r="2441" spans="1:5" ht="15.75">
      <c r="A2441" s="126"/>
      <c r="B2441" s="165">
        <v>110</v>
      </c>
      <c r="C2441" s="124" t="s">
        <v>393</v>
      </c>
      <c r="D2441" s="124"/>
      <c r="E2441" s="134">
        <v>292818</v>
      </c>
    </row>
    <row r="2442" spans="1:5" ht="15.75">
      <c r="A2442" s="126"/>
      <c r="B2442" s="164" t="s">
        <v>1196</v>
      </c>
      <c r="C2442" s="124" t="s">
        <v>393</v>
      </c>
      <c r="D2442" s="124"/>
      <c r="E2442" s="134">
        <v>4364</v>
      </c>
    </row>
    <row r="2443" spans="1:5" ht="15.75">
      <c r="A2443" s="126"/>
      <c r="B2443" s="165" t="s">
        <v>1200</v>
      </c>
      <c r="C2443" s="124" t="s">
        <v>393</v>
      </c>
      <c r="D2443" s="124"/>
      <c r="E2443" s="134">
        <v>33273</v>
      </c>
    </row>
    <row r="2444" spans="1:5" ht="15.75">
      <c r="A2444" s="126"/>
      <c r="B2444" s="165" t="s">
        <v>1201</v>
      </c>
      <c r="C2444" s="124" t="s">
        <v>393</v>
      </c>
      <c r="D2444" s="124"/>
      <c r="E2444" s="134">
        <v>166909</v>
      </c>
    </row>
    <row r="2445" spans="1:5" ht="15.75">
      <c r="A2445" s="126"/>
      <c r="B2445" s="164" t="s">
        <v>1195</v>
      </c>
      <c r="C2445" s="124" t="s">
        <v>393</v>
      </c>
      <c r="D2445" s="124"/>
      <c r="E2445" s="134">
        <v>4727</v>
      </c>
    </row>
    <row r="2446" spans="1:5" ht="15.75">
      <c r="A2446" s="126"/>
      <c r="B2446" s="165">
        <v>63</v>
      </c>
      <c r="C2446" s="124" t="s">
        <v>393</v>
      </c>
      <c r="D2446" s="124"/>
      <c r="E2446" s="134">
        <v>41818</v>
      </c>
    </row>
    <row r="2447" spans="1:5" ht="15.75">
      <c r="A2447" s="126"/>
      <c r="B2447" s="165">
        <v>110</v>
      </c>
      <c r="C2447" s="124" t="s">
        <v>393</v>
      </c>
      <c r="D2447" s="124"/>
      <c r="E2447" s="134">
        <v>192364</v>
      </c>
    </row>
    <row r="2448" spans="1:5" ht="15.75">
      <c r="A2448" s="126"/>
      <c r="B2448" s="164" t="s">
        <v>1202</v>
      </c>
      <c r="C2448" s="124" t="s">
        <v>393</v>
      </c>
      <c r="D2448" s="124"/>
      <c r="E2448" s="134">
        <v>4545</v>
      </c>
    </row>
    <row r="2449" spans="1:5" ht="15.75">
      <c r="A2449" s="126"/>
      <c r="B2449" s="165">
        <v>40</v>
      </c>
      <c r="C2449" s="124" t="s">
        <v>393</v>
      </c>
      <c r="D2449" s="124"/>
      <c r="E2449" s="134">
        <v>8909</v>
      </c>
    </row>
    <row r="2450" spans="1:5" ht="15.75">
      <c r="A2450" s="126"/>
      <c r="B2450" s="165">
        <v>63</v>
      </c>
      <c r="C2450" s="124" t="s">
        <v>393</v>
      </c>
      <c r="D2450" s="124"/>
      <c r="E2450" s="134">
        <v>81818</v>
      </c>
    </row>
    <row r="2451" spans="1:5" ht="15.75">
      <c r="A2451" s="126"/>
      <c r="B2451" s="164" t="s">
        <v>1203</v>
      </c>
      <c r="C2451" s="124" t="s">
        <v>393</v>
      </c>
      <c r="D2451" s="124"/>
      <c r="E2451" s="134">
        <v>50909</v>
      </c>
    </row>
    <row r="2452" spans="1:5" ht="15.75">
      <c r="A2452" s="126"/>
      <c r="B2452" s="165">
        <v>50</v>
      </c>
      <c r="C2452" s="124" t="s">
        <v>393</v>
      </c>
      <c r="D2452" s="124"/>
      <c r="E2452" s="134">
        <v>131909</v>
      </c>
    </row>
    <row r="2453" spans="1:5" ht="15.75">
      <c r="A2453" s="126"/>
      <c r="B2453" s="165" t="s">
        <v>1204</v>
      </c>
      <c r="C2453" s="124" t="s">
        <v>393</v>
      </c>
      <c r="D2453" s="124"/>
      <c r="E2453" s="134">
        <v>82273</v>
      </c>
    </row>
    <row r="2454" spans="1:5" ht="15.75">
      <c r="A2454" s="126"/>
      <c r="B2454" s="165" t="s">
        <v>1205</v>
      </c>
      <c r="C2454" s="124" t="s">
        <v>393</v>
      </c>
      <c r="D2454" s="124"/>
      <c r="E2454" s="134">
        <v>95455</v>
      </c>
    </row>
    <row r="2455" spans="1:5" ht="15.75">
      <c r="A2455" s="126"/>
      <c r="B2455" s="164" t="s">
        <v>1206</v>
      </c>
      <c r="C2455" s="124" t="s">
        <v>393</v>
      </c>
      <c r="D2455" s="124"/>
      <c r="E2455" s="134">
        <v>9545</v>
      </c>
    </row>
    <row r="2456" spans="1:5" ht="15.75">
      <c r="A2456" s="126"/>
      <c r="B2456" s="165" t="s">
        <v>1200</v>
      </c>
      <c r="C2456" s="124" t="s">
        <v>393</v>
      </c>
      <c r="D2456" s="124"/>
      <c r="E2456" s="134">
        <v>114273</v>
      </c>
    </row>
    <row r="2457" spans="1:5" ht="15.75">
      <c r="A2457" s="126"/>
      <c r="B2457" s="165" t="s">
        <v>1207</v>
      </c>
      <c r="C2457" s="124" t="s">
        <v>393</v>
      </c>
      <c r="D2457" s="124"/>
      <c r="E2457" s="134">
        <v>418182</v>
      </c>
    </row>
    <row r="2458" spans="1:5" ht="15.75">
      <c r="A2458" s="126"/>
      <c r="B2458" s="164" t="s">
        <v>1208</v>
      </c>
      <c r="C2458" s="124" t="s">
        <v>393</v>
      </c>
      <c r="D2458" s="124"/>
      <c r="E2458" s="134">
        <v>43636</v>
      </c>
    </row>
    <row r="2459" spans="1:5" ht="15.75">
      <c r="A2459" s="126"/>
      <c r="B2459" s="165" t="s">
        <v>1209</v>
      </c>
      <c r="C2459" s="124" t="s">
        <v>393</v>
      </c>
      <c r="D2459" s="124"/>
      <c r="E2459" s="134">
        <v>61182</v>
      </c>
    </row>
    <row r="2460" spans="1:5" ht="15.75">
      <c r="A2460" s="126"/>
      <c r="B2460" s="164" t="s">
        <v>1210</v>
      </c>
      <c r="C2460" s="124" t="s">
        <v>393</v>
      </c>
      <c r="D2460" s="124"/>
      <c r="E2460" s="134">
        <v>42273</v>
      </c>
    </row>
    <row r="2461" spans="1:5" ht="15.75">
      <c r="A2461" s="126"/>
      <c r="B2461" s="165" t="s">
        <v>1211</v>
      </c>
      <c r="C2461" s="124" t="s">
        <v>393</v>
      </c>
      <c r="D2461" s="124"/>
      <c r="E2461" s="134">
        <v>50455</v>
      </c>
    </row>
    <row r="2462" spans="1:5" ht="15.75">
      <c r="A2462" s="126"/>
      <c r="B2462" s="164" t="s">
        <v>1212</v>
      </c>
      <c r="C2462" s="124" t="s">
        <v>393</v>
      </c>
      <c r="D2462" s="124"/>
      <c r="E2462" s="134">
        <v>41455</v>
      </c>
    </row>
    <row r="2463" spans="1:5" ht="15.75">
      <c r="A2463" s="126"/>
      <c r="B2463" s="165" t="s">
        <v>1213</v>
      </c>
      <c r="C2463" s="124" t="s">
        <v>393</v>
      </c>
      <c r="D2463" s="124"/>
      <c r="E2463" s="134">
        <v>51818</v>
      </c>
    </row>
    <row r="2464" spans="1:5" ht="15.75">
      <c r="A2464" s="126"/>
      <c r="B2464" s="165" t="s">
        <v>1214</v>
      </c>
      <c r="C2464" s="124" t="s">
        <v>393</v>
      </c>
      <c r="D2464" s="124"/>
      <c r="E2464" s="134">
        <v>25455</v>
      </c>
    </row>
    <row r="2465" spans="1:5" ht="15.75">
      <c r="A2465" s="126"/>
      <c r="B2465" s="165" t="s">
        <v>1215</v>
      </c>
      <c r="C2465" s="124" t="s">
        <v>393</v>
      </c>
      <c r="D2465" s="124"/>
      <c r="E2465" s="134">
        <v>183636</v>
      </c>
    </row>
    <row r="2466" spans="1:5" ht="15.75">
      <c r="A2466" s="126" t="s">
        <v>380</v>
      </c>
      <c r="B2466" s="145" t="s">
        <v>1219</v>
      </c>
      <c r="C2466" s="124"/>
      <c r="D2466" s="124"/>
      <c r="E2466" s="134"/>
    </row>
    <row r="2467" spans="1:5" ht="15.75">
      <c r="A2467" s="126"/>
      <c r="B2467" s="130" t="s">
        <v>1220</v>
      </c>
      <c r="C2467" s="124"/>
      <c r="D2467" s="124"/>
      <c r="E2467" s="134">
        <v>29091</v>
      </c>
    </row>
    <row r="2468" spans="1:5" ht="15.75">
      <c r="A2468" s="126"/>
      <c r="B2468" s="165">
        <v>63</v>
      </c>
      <c r="C2468" s="124"/>
      <c r="D2468" s="124"/>
      <c r="E2468" s="134">
        <v>95455</v>
      </c>
    </row>
    <row r="2469" spans="1:5" ht="15.75">
      <c r="A2469" s="126"/>
      <c r="B2469" s="165">
        <v>90</v>
      </c>
      <c r="C2469" s="124"/>
      <c r="D2469" s="124"/>
      <c r="E2469" s="134">
        <v>272727</v>
      </c>
    </row>
    <row r="2470" spans="1:5" ht="15.75">
      <c r="A2470" s="126"/>
      <c r="B2470" s="165" t="s">
        <v>1221</v>
      </c>
      <c r="C2470" s="124"/>
      <c r="D2470" s="124"/>
      <c r="E2470" s="134">
        <v>27273</v>
      </c>
    </row>
    <row r="2471" spans="1:5" ht="15.75">
      <c r="A2471" s="126"/>
      <c r="B2471" s="165">
        <v>63</v>
      </c>
      <c r="C2471" s="124"/>
      <c r="D2471" s="124"/>
      <c r="E2471" s="134">
        <v>127273</v>
      </c>
    </row>
    <row r="2472" spans="1:5" ht="15.75">
      <c r="A2472" s="126"/>
      <c r="B2472" s="165">
        <v>90</v>
      </c>
      <c r="C2472" s="124"/>
      <c r="D2472" s="124"/>
      <c r="E2472" s="134">
        <v>309091</v>
      </c>
    </row>
    <row r="2473" spans="1:5" ht="15.75">
      <c r="A2473" s="126"/>
      <c r="B2473" s="165" t="s">
        <v>1223</v>
      </c>
      <c r="C2473" s="124"/>
      <c r="D2473" s="124"/>
      <c r="E2473" s="134">
        <v>245455</v>
      </c>
    </row>
    <row r="2474" spans="1:5" ht="15.75">
      <c r="A2474" s="126"/>
      <c r="B2474" s="165">
        <v>160</v>
      </c>
      <c r="C2474" s="124"/>
      <c r="D2474" s="124"/>
      <c r="E2474" s="134">
        <v>554545</v>
      </c>
    </row>
    <row r="2475" spans="1:5" ht="15.75">
      <c r="A2475" s="126"/>
      <c r="B2475" s="165">
        <v>200</v>
      </c>
      <c r="C2475" s="124"/>
      <c r="D2475" s="124"/>
      <c r="E2475" s="134">
        <v>918182</v>
      </c>
    </row>
    <row r="2476" spans="1:5" ht="15.75">
      <c r="A2476" s="126"/>
      <c r="B2476" s="165" t="s">
        <v>1222</v>
      </c>
      <c r="C2476" s="124"/>
      <c r="D2476" s="124"/>
      <c r="E2476" s="134">
        <v>36364</v>
      </c>
    </row>
    <row r="2477" spans="1:5" ht="15.75">
      <c r="A2477" s="126"/>
      <c r="B2477" s="165">
        <v>63</v>
      </c>
      <c r="C2477" s="124"/>
      <c r="D2477" s="124"/>
      <c r="E2477" s="134">
        <v>150000</v>
      </c>
    </row>
    <row r="2478" spans="1:5" ht="15.75">
      <c r="A2478" s="126"/>
      <c r="B2478" s="165">
        <v>90</v>
      </c>
      <c r="C2478" s="124"/>
      <c r="D2478" s="124"/>
      <c r="E2478" s="134">
        <v>454545</v>
      </c>
    </row>
    <row r="2479" spans="1:5" ht="15.75">
      <c r="A2479" s="126"/>
      <c r="B2479" s="165" t="s">
        <v>1224</v>
      </c>
      <c r="C2479" s="124"/>
      <c r="D2479" s="124"/>
      <c r="E2479" s="134">
        <v>372727</v>
      </c>
    </row>
    <row r="2480" spans="1:5" ht="15.75">
      <c r="A2480" s="126"/>
      <c r="B2480" s="165">
        <v>160</v>
      </c>
      <c r="C2480" s="124"/>
      <c r="D2480" s="124"/>
      <c r="E2480" s="134">
        <v>827273</v>
      </c>
    </row>
    <row r="2481" spans="1:5" ht="15.75">
      <c r="A2481" s="126"/>
      <c r="B2481" s="165">
        <v>200</v>
      </c>
      <c r="C2481" s="124"/>
      <c r="D2481" s="124"/>
      <c r="E2481" s="134">
        <v>1345455</v>
      </c>
    </row>
    <row r="2482" spans="1:5" ht="15.75">
      <c r="A2482" s="126"/>
      <c r="B2482" s="165" t="s">
        <v>1225</v>
      </c>
      <c r="C2482" s="124"/>
      <c r="D2482" s="124"/>
      <c r="E2482" s="134">
        <v>43636</v>
      </c>
    </row>
    <row r="2483" spans="1:5" ht="15.75">
      <c r="A2483" s="126"/>
      <c r="B2483" s="165" t="s">
        <v>1226</v>
      </c>
      <c r="C2483" s="124"/>
      <c r="D2483" s="124"/>
      <c r="E2483" s="134">
        <v>77273</v>
      </c>
    </row>
    <row r="2484" spans="1:5" ht="15.75">
      <c r="A2484" s="126"/>
      <c r="B2484" s="165" t="s">
        <v>1227</v>
      </c>
      <c r="C2484" s="124"/>
      <c r="D2484" s="124"/>
      <c r="E2484" s="134">
        <v>240909</v>
      </c>
    </row>
    <row r="2485" spans="1:5" ht="15.75">
      <c r="A2485" s="126"/>
      <c r="B2485" s="165" t="s">
        <v>1228</v>
      </c>
      <c r="C2485" s="124"/>
      <c r="D2485" s="124"/>
      <c r="E2485" s="134">
        <v>19091</v>
      </c>
    </row>
    <row r="2486" spans="1:5" ht="15.75">
      <c r="A2486" s="126"/>
      <c r="B2486" s="165" t="s">
        <v>1229</v>
      </c>
      <c r="C2486" s="124"/>
      <c r="D2486" s="124"/>
      <c r="E2486" s="134">
        <v>36364</v>
      </c>
    </row>
    <row r="2487" spans="1:5" ht="15.75">
      <c r="A2487" s="126"/>
      <c r="B2487" s="165" t="s">
        <v>1231</v>
      </c>
      <c r="C2487" s="124"/>
      <c r="D2487" s="124"/>
      <c r="E2487" s="134">
        <v>63636</v>
      </c>
    </row>
    <row r="2488" spans="1:5" ht="15.75">
      <c r="A2488" s="126"/>
      <c r="B2488" s="165" t="s">
        <v>1230</v>
      </c>
      <c r="C2488" s="124"/>
      <c r="D2488" s="124"/>
      <c r="E2488" s="134">
        <v>140909</v>
      </c>
    </row>
    <row r="2489" spans="1:5" ht="15.75">
      <c r="A2489" s="131" t="s">
        <v>1333</v>
      </c>
      <c r="B2489" s="164" t="s">
        <v>211</v>
      </c>
      <c r="C2489" s="181"/>
      <c r="D2489" s="181" t="s">
        <v>2567</v>
      </c>
      <c r="E2489" s="188"/>
    </row>
    <row r="2490" spans="1:5" ht="15.75">
      <c r="A2490" s="131" t="s">
        <v>380</v>
      </c>
      <c r="B2490" s="127" t="s">
        <v>212</v>
      </c>
      <c r="C2490" s="181"/>
      <c r="D2490" s="181"/>
      <c r="E2490" s="188"/>
    </row>
    <row r="2491" spans="1:5" ht="15.75">
      <c r="A2491" s="126"/>
      <c r="B2491" s="130" t="s">
        <v>173</v>
      </c>
      <c r="C2491" s="181" t="s">
        <v>615</v>
      </c>
      <c r="D2491" s="181"/>
      <c r="E2491" s="188">
        <f>1298000/1.1</f>
        <v>1180000</v>
      </c>
    </row>
    <row r="2492" spans="1:5" ht="15.75">
      <c r="A2492" s="126"/>
      <c r="B2492" s="130" t="s">
        <v>174</v>
      </c>
      <c r="C2492" s="181" t="s">
        <v>615</v>
      </c>
      <c r="D2492" s="181"/>
      <c r="E2492" s="188">
        <f>1263000/1.1</f>
        <v>1148181.8181818181</v>
      </c>
    </row>
    <row r="2493" spans="1:5" ht="15.75">
      <c r="A2493" s="131" t="s">
        <v>380</v>
      </c>
      <c r="B2493" s="127" t="s">
        <v>213</v>
      </c>
      <c r="C2493" s="181"/>
      <c r="D2493" s="181"/>
      <c r="E2493" s="188"/>
    </row>
    <row r="2494" spans="1:5" ht="15.75">
      <c r="A2494" s="126"/>
      <c r="B2494" s="130" t="s">
        <v>214</v>
      </c>
      <c r="C2494" s="181" t="s">
        <v>615</v>
      </c>
      <c r="D2494" s="181"/>
      <c r="E2494" s="188">
        <f>1461000/1.1</f>
        <v>1328181.8181818181</v>
      </c>
    </row>
    <row r="2495" spans="1:5" ht="15.75">
      <c r="A2495" s="126"/>
      <c r="B2495" s="130" t="s">
        <v>175</v>
      </c>
      <c r="C2495" s="181" t="s">
        <v>615</v>
      </c>
      <c r="D2495" s="181"/>
      <c r="E2495" s="188">
        <f>1635000/1.1</f>
        <v>1486363.6363636362</v>
      </c>
    </row>
    <row r="2496" spans="1:5" ht="15.75">
      <c r="A2496" s="126"/>
      <c r="B2496" s="130" t="s">
        <v>176</v>
      </c>
      <c r="C2496" s="181" t="s">
        <v>615</v>
      </c>
      <c r="D2496" s="181"/>
      <c r="E2496" s="188">
        <f>1869000/1.1</f>
        <v>1699090.909090909</v>
      </c>
    </row>
    <row r="2497" spans="1:5" ht="15.75">
      <c r="A2497" s="131" t="s">
        <v>380</v>
      </c>
      <c r="B2497" s="127" t="s">
        <v>215</v>
      </c>
      <c r="C2497" s="181"/>
      <c r="D2497" s="181"/>
      <c r="E2497" s="188"/>
    </row>
    <row r="2498" spans="1:5" ht="15.75">
      <c r="A2498" s="126"/>
      <c r="B2498" s="130" t="s">
        <v>177</v>
      </c>
      <c r="C2498" s="181" t="s">
        <v>393</v>
      </c>
      <c r="D2498" s="181"/>
      <c r="E2498" s="188">
        <f>679000/1.1</f>
        <v>617272.7272727272</v>
      </c>
    </row>
    <row r="2499" spans="1:5" ht="15.75">
      <c r="A2499" s="126"/>
      <c r="B2499" s="130" t="s">
        <v>178</v>
      </c>
      <c r="C2499" s="181" t="s">
        <v>393</v>
      </c>
      <c r="D2499" s="181"/>
      <c r="E2499" s="188">
        <f>1079000/1.1</f>
        <v>980909.0909090908</v>
      </c>
    </row>
    <row r="2500" spans="1:5" ht="15.75">
      <c r="A2500" s="131" t="s">
        <v>380</v>
      </c>
      <c r="B2500" s="127" t="s">
        <v>216</v>
      </c>
      <c r="C2500" s="181"/>
      <c r="D2500" s="181"/>
      <c r="E2500" s="188"/>
    </row>
    <row r="2501" spans="1:5" ht="15.75">
      <c r="A2501" s="126"/>
      <c r="B2501" s="130" t="s">
        <v>179</v>
      </c>
      <c r="C2501" s="181" t="s">
        <v>393</v>
      </c>
      <c r="D2501" s="181"/>
      <c r="E2501" s="188">
        <f>351000/1.1</f>
        <v>319090.90909090906</v>
      </c>
    </row>
    <row r="2502" spans="1:5" ht="15.75">
      <c r="A2502" s="126"/>
      <c r="B2502" s="130" t="s">
        <v>180</v>
      </c>
      <c r="C2502" s="181" t="s">
        <v>393</v>
      </c>
      <c r="D2502" s="181"/>
      <c r="E2502" s="188">
        <f>957000/1.1</f>
        <v>869999.9999999999</v>
      </c>
    </row>
    <row r="2503" spans="1:5" ht="15.75">
      <c r="A2503" s="126"/>
      <c r="B2503" s="130" t="s">
        <v>181</v>
      </c>
      <c r="C2503" s="181" t="s">
        <v>393</v>
      </c>
      <c r="D2503" s="181"/>
      <c r="E2503" s="188">
        <f>784000/1.1</f>
        <v>712727.2727272727</v>
      </c>
    </row>
    <row r="2504" spans="1:5" ht="15.75">
      <c r="A2504" s="131" t="s">
        <v>380</v>
      </c>
      <c r="B2504" s="127" t="s">
        <v>182</v>
      </c>
      <c r="C2504" s="181"/>
      <c r="D2504" s="181"/>
      <c r="E2504" s="188"/>
    </row>
    <row r="2505" spans="1:5" ht="15.75">
      <c r="A2505" s="126"/>
      <c r="B2505" s="130" t="s">
        <v>183</v>
      </c>
      <c r="C2505" s="181" t="s">
        <v>615</v>
      </c>
      <c r="D2505" s="181"/>
      <c r="E2505" s="188">
        <f>440000/1.1</f>
        <v>399999.99999999994</v>
      </c>
    </row>
    <row r="2506" spans="1:5" ht="15.75">
      <c r="A2506" s="126"/>
      <c r="B2506" s="130" t="s">
        <v>184</v>
      </c>
      <c r="C2506" s="181" t="s">
        <v>615</v>
      </c>
      <c r="D2506" s="181"/>
      <c r="E2506" s="188">
        <f>525000/1.1</f>
        <v>477272.72727272724</v>
      </c>
    </row>
    <row r="2507" spans="1:5" ht="15.75">
      <c r="A2507" s="126"/>
      <c r="B2507" s="130" t="s">
        <v>185</v>
      </c>
      <c r="C2507" s="181" t="s">
        <v>615</v>
      </c>
      <c r="D2507" s="181"/>
      <c r="E2507" s="188">
        <f>850000/1.1</f>
        <v>772727.2727272727</v>
      </c>
    </row>
    <row r="2508" spans="1:5" ht="21" customHeight="1">
      <c r="A2508" s="122" t="s">
        <v>1334</v>
      </c>
      <c r="B2508" s="145" t="s">
        <v>61</v>
      </c>
      <c r="C2508" s="130"/>
      <c r="D2508" s="130" t="s">
        <v>2568</v>
      </c>
      <c r="E2508" s="234"/>
    </row>
    <row r="2509" spans="1:5" ht="15.75">
      <c r="A2509" s="310"/>
      <c r="B2509" s="130" t="s">
        <v>62</v>
      </c>
      <c r="C2509" s="181" t="s">
        <v>379</v>
      </c>
      <c r="D2509" s="181"/>
      <c r="E2509" s="188">
        <f>25500/1.1</f>
        <v>23181.81818181818</v>
      </c>
    </row>
    <row r="2510" spans="1:5" ht="15.75">
      <c r="A2510" s="310"/>
      <c r="B2510" s="130" t="s">
        <v>63</v>
      </c>
      <c r="C2510" s="181" t="s">
        <v>379</v>
      </c>
      <c r="D2510" s="181"/>
      <c r="E2510" s="188">
        <f>32000/1.1</f>
        <v>29090.90909090909</v>
      </c>
    </row>
    <row r="2511" spans="1:5" ht="15.75">
      <c r="A2511" s="310"/>
      <c r="B2511" s="130" t="s">
        <v>64</v>
      </c>
      <c r="C2511" s="181" t="s">
        <v>379</v>
      </c>
      <c r="D2511" s="181"/>
      <c r="E2511" s="188">
        <f>42000/1.1</f>
        <v>38181.81818181818</v>
      </c>
    </row>
    <row r="2512" spans="1:5" ht="15.75">
      <c r="A2512" s="310"/>
      <c r="B2512" s="130" t="s">
        <v>65</v>
      </c>
      <c r="C2512" s="181" t="s">
        <v>379</v>
      </c>
      <c r="D2512" s="181"/>
      <c r="E2512" s="188">
        <f>50000/1.1</f>
        <v>45454.54545454545</v>
      </c>
    </row>
    <row r="2513" spans="1:5" ht="15.75">
      <c r="A2513" s="310"/>
      <c r="B2513" s="130" t="s">
        <v>66</v>
      </c>
      <c r="C2513" s="181" t="s">
        <v>379</v>
      </c>
      <c r="D2513" s="181"/>
      <c r="E2513" s="188">
        <f>66000/1.1</f>
        <v>59999.99999999999</v>
      </c>
    </row>
    <row r="2514" spans="1:5" ht="15.75">
      <c r="A2514" s="310"/>
      <c r="B2514" s="130" t="s">
        <v>67</v>
      </c>
      <c r="C2514" s="181" t="s">
        <v>379</v>
      </c>
      <c r="D2514" s="181"/>
      <c r="E2514" s="188">
        <f>86000/1.1</f>
        <v>78181.81818181818</v>
      </c>
    </row>
    <row r="2515" spans="1:5" ht="16.5" customHeight="1">
      <c r="A2515" s="310"/>
      <c r="B2515" s="130" t="s">
        <v>68</v>
      </c>
      <c r="C2515" s="181" t="s">
        <v>379</v>
      </c>
      <c r="D2515" s="181"/>
      <c r="E2515" s="188">
        <f>127000/1.1</f>
        <v>115454.54545454544</v>
      </c>
    </row>
    <row r="2516" spans="1:5" ht="15.75">
      <c r="A2516" s="310"/>
      <c r="B2516" s="130" t="s">
        <v>69</v>
      </c>
      <c r="C2516" s="181" t="s">
        <v>379</v>
      </c>
      <c r="D2516" s="181"/>
      <c r="E2516" s="188">
        <f>150000/1.1</f>
        <v>136363.63636363635</v>
      </c>
    </row>
    <row r="2517" spans="1:5" ht="15.75">
      <c r="A2517" s="310"/>
      <c r="B2517" s="130" t="s">
        <v>70</v>
      </c>
      <c r="C2517" s="181" t="s">
        <v>379</v>
      </c>
      <c r="D2517" s="181"/>
      <c r="E2517" s="188">
        <f>200000/1.1</f>
        <v>181818.1818181818</v>
      </c>
    </row>
    <row r="2518" spans="1:5" ht="19.5" customHeight="1">
      <c r="A2518" s="122" t="s">
        <v>1335</v>
      </c>
      <c r="B2518" s="159" t="s">
        <v>100</v>
      </c>
      <c r="C2518" s="181"/>
      <c r="D2518" s="310" t="s">
        <v>2569</v>
      </c>
      <c r="E2518" s="188"/>
    </row>
    <row r="2519" spans="1:5" ht="15.75">
      <c r="A2519" s="122" t="s">
        <v>380</v>
      </c>
      <c r="B2519" s="163" t="s">
        <v>1088</v>
      </c>
      <c r="C2519" s="181"/>
      <c r="D2519" s="181"/>
      <c r="E2519" s="188"/>
    </row>
    <row r="2520" spans="1:5" ht="15.75">
      <c r="A2520" s="310"/>
      <c r="B2520" s="235" t="s">
        <v>82</v>
      </c>
      <c r="C2520" s="181" t="s">
        <v>379</v>
      </c>
      <c r="D2520" s="181"/>
      <c r="E2520" s="188">
        <f>34900/1.1</f>
        <v>31727.272727272724</v>
      </c>
    </row>
    <row r="2521" spans="1:5" ht="15.75">
      <c r="A2521" s="310"/>
      <c r="B2521" s="235" t="s">
        <v>83</v>
      </c>
      <c r="C2521" s="181" t="s">
        <v>379</v>
      </c>
      <c r="D2521" s="181"/>
      <c r="E2521" s="188">
        <f>48700/1.1</f>
        <v>44272.72727272727</v>
      </c>
    </row>
    <row r="2522" spans="1:5" ht="15.75">
      <c r="A2522" s="310"/>
      <c r="B2522" s="235" t="s">
        <v>84</v>
      </c>
      <c r="C2522" s="181" t="s">
        <v>379</v>
      </c>
      <c r="D2522" s="181"/>
      <c r="E2522" s="188">
        <f>70000/1.1</f>
        <v>63636.36363636363</v>
      </c>
    </row>
    <row r="2523" spans="1:5" ht="15.75">
      <c r="A2523" s="310"/>
      <c r="B2523" s="235" t="s">
        <v>85</v>
      </c>
      <c r="C2523" s="181" t="s">
        <v>379</v>
      </c>
      <c r="D2523" s="181"/>
      <c r="E2523" s="188">
        <f>109400/1.1</f>
        <v>99454.54545454544</v>
      </c>
    </row>
    <row r="2524" spans="1:5" ht="15.75">
      <c r="A2524" s="310"/>
      <c r="B2524" s="235" t="s">
        <v>86</v>
      </c>
      <c r="C2524" s="181" t="s">
        <v>379</v>
      </c>
      <c r="D2524" s="181"/>
      <c r="E2524" s="188">
        <f>127600/1.1</f>
        <v>115999.99999999999</v>
      </c>
    </row>
    <row r="2525" spans="1:5" ht="16.5" customHeight="1">
      <c r="A2525" s="310"/>
      <c r="B2525" s="235" t="s">
        <v>87</v>
      </c>
      <c r="C2525" s="181" t="s">
        <v>379</v>
      </c>
      <c r="D2525" s="181"/>
      <c r="E2525" s="188">
        <f>167200/1.1</f>
        <v>152000</v>
      </c>
    </row>
    <row r="2526" spans="1:5" ht="15.75">
      <c r="A2526" s="310"/>
      <c r="B2526" s="235" t="s">
        <v>88</v>
      </c>
      <c r="C2526" s="181" t="s">
        <v>379</v>
      </c>
      <c r="D2526" s="181"/>
      <c r="E2526" s="188">
        <f>209400/1.1</f>
        <v>190363.63636363635</v>
      </c>
    </row>
    <row r="2527" spans="1:5" ht="15.75">
      <c r="A2527" s="310"/>
      <c r="B2527" s="235" t="s">
        <v>89</v>
      </c>
      <c r="C2527" s="181" t="s">
        <v>379</v>
      </c>
      <c r="D2527" s="181"/>
      <c r="E2527" s="188">
        <f>261400/1.1</f>
        <v>237636.36363636362</v>
      </c>
    </row>
    <row r="2528" spans="1:5" ht="15.75">
      <c r="A2528" s="310"/>
      <c r="B2528" s="235" t="s">
        <v>90</v>
      </c>
      <c r="C2528" s="181" t="s">
        <v>379</v>
      </c>
      <c r="D2528" s="181"/>
      <c r="E2528" s="188">
        <f>324300/1.1</f>
        <v>294818.18181818177</v>
      </c>
    </row>
    <row r="2529" spans="1:5" ht="15.75">
      <c r="A2529" s="122" t="s">
        <v>380</v>
      </c>
      <c r="B2529" s="163" t="s">
        <v>1087</v>
      </c>
      <c r="C2529" s="181"/>
      <c r="D2529" s="181"/>
      <c r="E2529" s="188"/>
    </row>
    <row r="2530" spans="1:5" ht="15.75">
      <c r="A2530" s="310"/>
      <c r="B2530" s="235" t="s">
        <v>91</v>
      </c>
      <c r="C2530" s="181" t="s">
        <v>379</v>
      </c>
      <c r="D2530" s="181"/>
      <c r="E2530" s="188">
        <f>43600/1.1</f>
        <v>39636.36363636363</v>
      </c>
    </row>
    <row r="2531" spans="1:5" ht="15.75">
      <c r="A2531" s="310"/>
      <c r="B2531" s="235" t="s">
        <v>92</v>
      </c>
      <c r="C2531" s="181" t="s">
        <v>379</v>
      </c>
      <c r="D2531" s="181"/>
      <c r="E2531" s="188">
        <f>60200/1.1</f>
        <v>54727.27272727272</v>
      </c>
    </row>
    <row r="2532" spans="1:5" ht="15.75">
      <c r="A2532" s="310"/>
      <c r="B2532" s="235" t="s">
        <v>93</v>
      </c>
      <c r="C2532" s="181" t="s">
        <v>379</v>
      </c>
      <c r="D2532" s="181"/>
      <c r="E2532" s="188">
        <f>86800/1.1</f>
        <v>78909.0909090909</v>
      </c>
    </row>
    <row r="2533" spans="1:5" ht="15.75">
      <c r="A2533" s="310"/>
      <c r="B2533" s="235" t="s">
        <v>94</v>
      </c>
      <c r="C2533" s="181" t="s">
        <v>379</v>
      </c>
      <c r="D2533" s="181"/>
      <c r="E2533" s="188">
        <f>131000/1.1</f>
        <v>119090.90909090909</v>
      </c>
    </row>
    <row r="2534" spans="1:5" ht="15.75">
      <c r="A2534" s="310"/>
      <c r="B2534" s="235" t="s">
        <v>95</v>
      </c>
      <c r="C2534" s="181" t="s">
        <v>379</v>
      </c>
      <c r="D2534" s="181"/>
      <c r="E2534" s="188">
        <f>160700/1.1</f>
        <v>146090.9090909091</v>
      </c>
    </row>
    <row r="2535" spans="1:5" ht="15.75">
      <c r="A2535" s="310"/>
      <c r="B2535" s="235" t="s">
        <v>96</v>
      </c>
      <c r="C2535" s="181" t="s">
        <v>379</v>
      </c>
      <c r="D2535" s="181"/>
      <c r="E2535" s="188">
        <f>204800/1.1</f>
        <v>186181.81818181818</v>
      </c>
    </row>
    <row r="2536" spans="1:5" ht="15.75">
      <c r="A2536" s="310"/>
      <c r="B2536" s="235" t="s">
        <v>97</v>
      </c>
      <c r="C2536" s="181" t="s">
        <v>379</v>
      </c>
      <c r="D2536" s="181"/>
      <c r="E2536" s="188">
        <f>265800/1.1</f>
        <v>241636.36363636362</v>
      </c>
    </row>
    <row r="2537" spans="1:5" ht="15.75">
      <c r="A2537" s="310"/>
      <c r="B2537" s="235" t="s">
        <v>98</v>
      </c>
      <c r="C2537" s="181" t="s">
        <v>379</v>
      </c>
      <c r="D2537" s="181"/>
      <c r="E2537" s="188">
        <f>334500/1.1</f>
        <v>304090.90909090906</v>
      </c>
    </row>
    <row r="2538" spans="1:5" ht="15.75">
      <c r="A2538" s="310"/>
      <c r="B2538" s="235" t="s">
        <v>99</v>
      </c>
      <c r="C2538" s="181" t="s">
        <v>379</v>
      </c>
      <c r="D2538" s="181"/>
      <c r="E2538" s="188">
        <f>415400/1.1</f>
        <v>377636.3636363636</v>
      </c>
    </row>
    <row r="2539" spans="1:5" ht="15.75">
      <c r="A2539" s="122" t="s">
        <v>380</v>
      </c>
      <c r="B2539" s="163" t="s">
        <v>1086</v>
      </c>
      <c r="C2539" s="181"/>
      <c r="D2539" s="181"/>
      <c r="E2539" s="188"/>
    </row>
    <row r="2540" spans="1:5" ht="15.75">
      <c r="A2540" s="310"/>
      <c r="B2540" s="235" t="s">
        <v>101</v>
      </c>
      <c r="C2540" s="181" t="s">
        <v>379</v>
      </c>
      <c r="D2540" s="181"/>
      <c r="E2540" s="188">
        <f>5500/1.1</f>
        <v>5000</v>
      </c>
    </row>
    <row r="2541" spans="1:5" ht="15.75">
      <c r="A2541" s="310"/>
      <c r="B2541" s="235" t="s">
        <v>102</v>
      </c>
      <c r="C2541" s="181" t="s">
        <v>379</v>
      </c>
      <c r="D2541" s="181"/>
      <c r="E2541" s="188">
        <f>6800/1.1</f>
        <v>6181.818181818181</v>
      </c>
    </row>
    <row r="2542" spans="1:5" ht="15.75">
      <c r="A2542" s="310"/>
      <c r="B2542" s="235" t="s">
        <v>103</v>
      </c>
      <c r="C2542" s="181" t="s">
        <v>379</v>
      </c>
      <c r="D2542" s="181"/>
      <c r="E2542" s="188">
        <f>8900/1.1</f>
        <v>8090.90909090909</v>
      </c>
    </row>
    <row r="2543" spans="1:5" ht="15.75">
      <c r="A2543" s="310"/>
      <c r="B2543" s="235" t="s">
        <v>104</v>
      </c>
      <c r="C2543" s="181" t="s">
        <v>379</v>
      </c>
      <c r="D2543" s="181"/>
      <c r="E2543" s="188">
        <f>13200/1.1</f>
        <v>11999.999999999998</v>
      </c>
    </row>
    <row r="2544" spans="1:5" ht="15.75">
      <c r="A2544" s="310"/>
      <c r="B2544" s="235" t="s">
        <v>105</v>
      </c>
      <c r="C2544" s="181" t="s">
        <v>379</v>
      </c>
      <c r="D2544" s="181"/>
      <c r="E2544" s="188">
        <f>15500/1.1</f>
        <v>14090.90909090909</v>
      </c>
    </row>
    <row r="2545" spans="1:5" ht="15.75">
      <c r="A2545" s="310"/>
      <c r="B2545" s="235" t="s">
        <v>106</v>
      </c>
      <c r="C2545" s="181" t="s">
        <v>379</v>
      </c>
      <c r="D2545" s="181"/>
      <c r="E2545" s="188">
        <f>20100/1.1</f>
        <v>18272.727272727272</v>
      </c>
    </row>
    <row r="2546" spans="1:5" ht="15.75">
      <c r="A2546" s="310"/>
      <c r="B2546" s="235" t="s">
        <v>72</v>
      </c>
      <c r="C2546" s="181" t="s">
        <v>379</v>
      </c>
      <c r="D2546" s="181"/>
      <c r="E2546" s="188">
        <f>28200/1.1</f>
        <v>25636.363636363636</v>
      </c>
    </row>
    <row r="2547" spans="1:5" ht="15.75">
      <c r="A2547" s="310"/>
      <c r="B2547" s="235" t="s">
        <v>73</v>
      </c>
      <c r="C2547" s="181" t="s">
        <v>379</v>
      </c>
      <c r="D2547" s="181"/>
      <c r="E2547" s="188">
        <f>34500/1.1</f>
        <v>31363.63636363636</v>
      </c>
    </row>
    <row r="2548" spans="1:5" ht="15.75">
      <c r="A2548" s="310"/>
      <c r="B2548" s="235" t="s">
        <v>74</v>
      </c>
      <c r="C2548" s="181" t="s">
        <v>379</v>
      </c>
      <c r="D2548" s="181"/>
      <c r="E2548" s="188">
        <f>52100/1.1</f>
        <v>47363.63636363636</v>
      </c>
    </row>
    <row r="2549" spans="1:5" ht="15.75">
      <c r="A2549" s="122" t="s">
        <v>380</v>
      </c>
      <c r="B2549" s="163" t="s">
        <v>1085</v>
      </c>
      <c r="C2549" s="130"/>
      <c r="D2549" s="130"/>
      <c r="E2549" s="188"/>
    </row>
    <row r="2550" spans="1:5" ht="15.75">
      <c r="A2550" s="310"/>
      <c r="B2550" s="198" t="s">
        <v>80</v>
      </c>
      <c r="C2550" s="130"/>
      <c r="D2550" s="130"/>
      <c r="E2550" s="188"/>
    </row>
    <row r="2551" spans="1:5" ht="15.75">
      <c r="A2551" s="310"/>
      <c r="B2551" s="130" t="s">
        <v>71</v>
      </c>
      <c r="C2551" s="181" t="s">
        <v>393</v>
      </c>
      <c r="D2551" s="181"/>
      <c r="E2551" s="236">
        <f>6300/1.1</f>
        <v>5727.272727272727</v>
      </c>
    </row>
    <row r="2552" spans="1:5" ht="15.75">
      <c r="A2552" s="310"/>
      <c r="B2552" s="130" t="s">
        <v>72</v>
      </c>
      <c r="C2552" s="181" t="s">
        <v>393</v>
      </c>
      <c r="D2552" s="181"/>
      <c r="E2552" s="236">
        <f>9400/1.1</f>
        <v>8545.454545454544</v>
      </c>
    </row>
    <row r="2553" spans="1:5" ht="15.75">
      <c r="A2553" s="310"/>
      <c r="B2553" s="130" t="s">
        <v>73</v>
      </c>
      <c r="C2553" s="181" t="s">
        <v>393</v>
      </c>
      <c r="D2553" s="181"/>
      <c r="E2553" s="236">
        <f>12000/1.1</f>
        <v>10909.090909090908</v>
      </c>
    </row>
    <row r="2554" spans="1:5" ht="15.75">
      <c r="A2554" s="310"/>
      <c r="B2554" s="130" t="s">
        <v>74</v>
      </c>
      <c r="C2554" s="181" t="s">
        <v>393</v>
      </c>
      <c r="D2554" s="181"/>
      <c r="E2554" s="236">
        <f>15300/1.1</f>
        <v>13909.090909090908</v>
      </c>
    </row>
    <row r="2555" spans="1:5" ht="15.75">
      <c r="A2555" s="310"/>
      <c r="B2555" s="130" t="s">
        <v>75</v>
      </c>
      <c r="C2555" s="181" t="s">
        <v>393</v>
      </c>
      <c r="D2555" s="181"/>
      <c r="E2555" s="236">
        <f>17100/1.1</f>
        <v>15545.454545454544</v>
      </c>
    </row>
    <row r="2556" spans="1:5" ht="15.75">
      <c r="A2556" s="310"/>
      <c r="B2556" s="130" t="s">
        <v>76</v>
      </c>
      <c r="C2556" s="181" t="s">
        <v>393</v>
      </c>
      <c r="D2556" s="181"/>
      <c r="E2556" s="236">
        <f>19900/1.1</f>
        <v>18090.90909090909</v>
      </c>
    </row>
    <row r="2557" spans="1:5" ht="15.75">
      <c r="A2557" s="310"/>
      <c r="B2557" s="130" t="s">
        <v>77</v>
      </c>
      <c r="C2557" s="181" t="s">
        <v>393</v>
      </c>
      <c r="D2557" s="181"/>
      <c r="E2557" s="236">
        <f>24600/1.1</f>
        <v>22363.63636363636</v>
      </c>
    </row>
    <row r="2558" spans="1:5" ht="15.75">
      <c r="A2558" s="310"/>
      <c r="B2558" s="130" t="s">
        <v>78</v>
      </c>
      <c r="C2558" s="181" t="s">
        <v>393</v>
      </c>
      <c r="D2558" s="181"/>
      <c r="E2558" s="236">
        <f>29500/1.1</f>
        <v>26818.181818181816</v>
      </c>
    </row>
    <row r="2559" spans="1:5" ht="15.75">
      <c r="A2559" s="310"/>
      <c r="B2559" s="130" t="s">
        <v>79</v>
      </c>
      <c r="C2559" s="181" t="s">
        <v>393</v>
      </c>
      <c r="D2559" s="181"/>
      <c r="E2559" s="236">
        <f>32500/1.1</f>
        <v>29545.454545454544</v>
      </c>
    </row>
    <row r="2560" spans="1:5" ht="15.75">
      <c r="A2560" s="310"/>
      <c r="B2560" s="198" t="s">
        <v>81</v>
      </c>
      <c r="C2560" s="181" t="s">
        <v>595</v>
      </c>
      <c r="D2560" s="181"/>
      <c r="E2560" s="188">
        <f>121300/1.1</f>
        <v>110272.72727272726</v>
      </c>
    </row>
    <row r="2561" spans="1:5" ht="15.75">
      <c r="A2561" s="122" t="s">
        <v>380</v>
      </c>
      <c r="B2561" s="163" t="s">
        <v>1089</v>
      </c>
      <c r="C2561" s="130"/>
      <c r="D2561" s="130"/>
      <c r="E2561" s="188"/>
    </row>
    <row r="2562" spans="1:5" ht="15.75">
      <c r="A2562" s="310"/>
      <c r="B2562" s="130" t="s">
        <v>107</v>
      </c>
      <c r="C2562" s="181" t="s">
        <v>379</v>
      </c>
      <c r="D2562" s="181"/>
      <c r="E2562" s="188">
        <v>7545</v>
      </c>
    </row>
    <row r="2563" spans="1:5" ht="15.75">
      <c r="A2563" s="310"/>
      <c r="B2563" s="130" t="s">
        <v>108</v>
      </c>
      <c r="C2563" s="181" t="s">
        <v>379</v>
      </c>
      <c r="D2563" s="181"/>
      <c r="E2563" s="188">
        <v>11455</v>
      </c>
    </row>
    <row r="2564" spans="1:5" ht="15.75">
      <c r="A2564" s="310"/>
      <c r="B2564" s="130" t="s">
        <v>109</v>
      </c>
      <c r="C2564" s="181" t="s">
        <v>379</v>
      </c>
      <c r="D2564" s="181"/>
      <c r="E2564" s="188">
        <v>18909</v>
      </c>
    </row>
    <row r="2565" spans="1:5" ht="15.75">
      <c r="A2565" s="310"/>
      <c r="B2565" s="130" t="s">
        <v>110</v>
      </c>
      <c r="C2565" s="181" t="s">
        <v>379</v>
      </c>
      <c r="D2565" s="181"/>
      <c r="E2565" s="188">
        <v>29182</v>
      </c>
    </row>
    <row r="2566" spans="1:5" ht="15.75">
      <c r="A2566" s="310"/>
      <c r="B2566" s="130" t="s">
        <v>111</v>
      </c>
      <c r="C2566" s="181" t="s">
        <v>379</v>
      </c>
      <c r="D2566" s="181"/>
      <c r="E2566" s="188">
        <v>45182</v>
      </c>
    </row>
    <row r="2567" spans="1:5" ht="15.75">
      <c r="A2567" s="310"/>
      <c r="B2567" s="130" t="s">
        <v>112</v>
      </c>
      <c r="C2567" s="181" t="s">
        <v>379</v>
      </c>
      <c r="D2567" s="181"/>
      <c r="E2567" s="188">
        <v>71818</v>
      </c>
    </row>
    <row r="2568" spans="1:5" ht="15.75">
      <c r="A2568" s="310"/>
      <c r="B2568" s="130" t="s">
        <v>113</v>
      </c>
      <c r="C2568" s="181" t="s">
        <v>379</v>
      </c>
      <c r="D2568" s="181"/>
      <c r="E2568" s="188">
        <v>100455</v>
      </c>
    </row>
    <row r="2569" spans="1:5" ht="15.75">
      <c r="A2569" s="310"/>
      <c r="B2569" s="130" t="s">
        <v>114</v>
      </c>
      <c r="C2569" s="181" t="s">
        <v>379</v>
      </c>
      <c r="D2569" s="181"/>
      <c r="E2569" s="188">
        <v>144545</v>
      </c>
    </row>
    <row r="2570" spans="1:5" ht="15.75">
      <c r="A2570" s="310"/>
      <c r="B2570" s="130" t="s">
        <v>115</v>
      </c>
      <c r="C2570" s="181" t="s">
        <v>379</v>
      </c>
      <c r="D2570" s="181"/>
      <c r="E2570" s="188">
        <v>216273</v>
      </c>
    </row>
    <row r="2571" spans="1:5" ht="15.75">
      <c r="A2571" s="122" t="s">
        <v>380</v>
      </c>
      <c r="B2571" s="163" t="s">
        <v>1090</v>
      </c>
      <c r="C2571" s="130"/>
      <c r="D2571" s="130"/>
      <c r="E2571" s="188"/>
    </row>
    <row r="2572" spans="1:5" ht="15.75">
      <c r="A2572" s="310"/>
      <c r="B2572" s="130" t="s">
        <v>116</v>
      </c>
      <c r="C2572" s="181" t="s">
        <v>379</v>
      </c>
      <c r="D2572" s="181"/>
      <c r="E2572" s="188">
        <v>21000</v>
      </c>
    </row>
    <row r="2573" spans="1:5" ht="15.75">
      <c r="A2573" s="310"/>
      <c r="B2573" s="130" t="s">
        <v>117</v>
      </c>
      <c r="C2573" s="181" t="s">
        <v>379</v>
      </c>
      <c r="D2573" s="181"/>
      <c r="E2573" s="188">
        <v>40000</v>
      </c>
    </row>
    <row r="2574" spans="1:5" ht="15.75">
      <c r="A2574" s="310"/>
      <c r="B2574" s="130" t="s">
        <v>118</v>
      </c>
      <c r="C2574" s="181" t="s">
        <v>379</v>
      </c>
      <c r="D2574" s="181"/>
      <c r="E2574" s="188">
        <v>50727</v>
      </c>
    </row>
    <row r="2575" spans="1:5" ht="15.75">
      <c r="A2575" s="310"/>
      <c r="B2575" s="130" t="s">
        <v>119</v>
      </c>
      <c r="C2575" s="181" t="s">
        <v>379</v>
      </c>
      <c r="D2575" s="181"/>
      <c r="E2575" s="188">
        <v>70636</v>
      </c>
    </row>
    <row r="2576" spans="1:5" ht="15.75">
      <c r="A2576" s="237"/>
      <c r="B2576" s="130" t="s">
        <v>120</v>
      </c>
      <c r="C2576" s="181" t="s">
        <v>379</v>
      </c>
      <c r="D2576" s="181"/>
      <c r="E2576" s="188">
        <v>105000</v>
      </c>
    </row>
    <row r="2577" spans="1:5" ht="15.75">
      <c r="A2577" s="238"/>
      <c r="B2577" s="130" t="s">
        <v>121</v>
      </c>
      <c r="C2577" s="181" t="s">
        <v>379</v>
      </c>
      <c r="D2577" s="181"/>
      <c r="E2577" s="188">
        <v>166000</v>
      </c>
    </row>
    <row r="2578" spans="1:5" ht="15.75">
      <c r="A2578" s="237"/>
      <c r="B2578" s="130" t="s">
        <v>122</v>
      </c>
      <c r="C2578" s="181" t="s">
        <v>379</v>
      </c>
      <c r="D2578" s="181"/>
      <c r="E2578" s="188">
        <v>241182</v>
      </c>
    </row>
    <row r="2579" spans="1:5" ht="15.75">
      <c r="A2579" s="237"/>
      <c r="B2579" s="130" t="s">
        <v>123</v>
      </c>
      <c r="C2579" s="181" t="s">
        <v>379</v>
      </c>
      <c r="D2579" s="181"/>
      <c r="E2579" s="188">
        <v>344273</v>
      </c>
    </row>
    <row r="2580" spans="1:5" ht="15.75">
      <c r="A2580" s="237"/>
      <c r="B2580" s="130" t="s">
        <v>124</v>
      </c>
      <c r="C2580" s="181" t="s">
        <v>379</v>
      </c>
      <c r="D2580" s="181"/>
      <c r="E2580" s="188">
        <v>515818</v>
      </c>
    </row>
    <row r="2581" spans="1:5" ht="15.75">
      <c r="A2581" s="239" t="s">
        <v>380</v>
      </c>
      <c r="B2581" s="240" t="s">
        <v>1091</v>
      </c>
      <c r="C2581" s="241"/>
      <c r="D2581" s="241"/>
      <c r="E2581" s="242"/>
    </row>
    <row r="2582" spans="1:5" ht="15.75">
      <c r="A2582" s="238"/>
      <c r="B2582" s="243" t="s">
        <v>125</v>
      </c>
      <c r="C2582" s="241"/>
      <c r="D2582" s="241"/>
      <c r="E2582" s="242"/>
    </row>
    <row r="2583" spans="1:5" ht="15.75">
      <c r="A2583" s="237"/>
      <c r="B2583" s="136" t="s">
        <v>63</v>
      </c>
      <c r="C2583" s="124" t="s">
        <v>393</v>
      </c>
      <c r="D2583" s="124"/>
      <c r="E2583" s="140">
        <v>2545</v>
      </c>
    </row>
    <row r="2584" spans="1:5" ht="15.75">
      <c r="A2584" s="237"/>
      <c r="B2584" s="136" t="s">
        <v>126</v>
      </c>
      <c r="C2584" s="124" t="s">
        <v>393</v>
      </c>
      <c r="D2584" s="124"/>
      <c r="E2584" s="140">
        <v>4273</v>
      </c>
    </row>
    <row r="2585" spans="1:5" ht="15.75">
      <c r="A2585" s="237"/>
      <c r="B2585" s="136" t="s">
        <v>127</v>
      </c>
      <c r="C2585" s="124" t="s">
        <v>393</v>
      </c>
      <c r="D2585" s="124"/>
      <c r="E2585" s="140">
        <v>6545</v>
      </c>
    </row>
    <row r="2586" spans="1:5" ht="15.75">
      <c r="A2586" s="237"/>
      <c r="B2586" s="244" t="s">
        <v>66</v>
      </c>
      <c r="C2586" s="124" t="s">
        <v>393</v>
      </c>
      <c r="D2586" s="124"/>
      <c r="E2586" s="140">
        <v>10545</v>
      </c>
    </row>
    <row r="2587" spans="1:5" ht="15.75">
      <c r="A2587" s="237"/>
      <c r="B2587" s="136" t="s">
        <v>67</v>
      </c>
      <c r="C2587" s="124" t="s">
        <v>393</v>
      </c>
      <c r="D2587" s="124"/>
      <c r="E2587" s="140">
        <v>18636</v>
      </c>
    </row>
    <row r="2588" spans="1:5" ht="15.75">
      <c r="A2588" s="237"/>
      <c r="B2588" s="136" t="s">
        <v>71</v>
      </c>
      <c r="C2588" s="124" t="s">
        <v>393</v>
      </c>
      <c r="D2588" s="124"/>
      <c r="E2588" s="140">
        <v>40000</v>
      </c>
    </row>
    <row r="2589" spans="1:5" ht="15.75">
      <c r="A2589" s="237"/>
      <c r="B2589" s="136" t="s">
        <v>72</v>
      </c>
      <c r="C2589" s="124" t="s">
        <v>393</v>
      </c>
      <c r="D2589" s="124"/>
      <c r="E2589" s="140">
        <v>63818</v>
      </c>
    </row>
    <row r="2590" spans="1:5" ht="15.75">
      <c r="A2590" s="237"/>
      <c r="B2590" s="136" t="s">
        <v>73</v>
      </c>
      <c r="C2590" s="124" t="s">
        <v>393</v>
      </c>
      <c r="D2590" s="124"/>
      <c r="E2590" s="140">
        <v>108000</v>
      </c>
    </row>
    <row r="2591" spans="1:5" ht="15.75">
      <c r="A2591" s="237"/>
      <c r="B2591" s="136" t="s">
        <v>74</v>
      </c>
      <c r="C2591" s="124" t="s">
        <v>393</v>
      </c>
      <c r="D2591" s="124"/>
      <c r="E2591" s="140">
        <v>175000</v>
      </c>
    </row>
    <row r="2592" spans="1:5" ht="15.75">
      <c r="A2592" s="237"/>
      <c r="B2592" s="136" t="s">
        <v>128</v>
      </c>
      <c r="C2592" s="124"/>
      <c r="D2592" s="124"/>
      <c r="E2592" s="140"/>
    </row>
    <row r="2593" spans="1:5" ht="15.75">
      <c r="A2593" s="237"/>
      <c r="B2593" s="136" t="s">
        <v>63</v>
      </c>
      <c r="C2593" s="124" t="s">
        <v>393</v>
      </c>
      <c r="D2593" s="124"/>
      <c r="E2593" s="140">
        <v>31545</v>
      </c>
    </row>
    <row r="2594" spans="1:5" ht="15.75">
      <c r="A2594" s="237"/>
      <c r="B2594" s="136" t="s">
        <v>126</v>
      </c>
      <c r="C2594" s="124" t="s">
        <v>393</v>
      </c>
      <c r="D2594" s="124"/>
      <c r="E2594" s="140">
        <v>46000</v>
      </c>
    </row>
    <row r="2595" spans="1:5" ht="15.75">
      <c r="A2595" s="237"/>
      <c r="B2595" s="136" t="s">
        <v>127</v>
      </c>
      <c r="C2595" s="124" t="s">
        <v>393</v>
      </c>
      <c r="D2595" s="124"/>
      <c r="E2595" s="140">
        <v>67818</v>
      </c>
    </row>
    <row r="2596" spans="1:5" ht="15.75">
      <c r="A2596" s="237"/>
      <c r="B2596" s="244" t="s">
        <v>66</v>
      </c>
      <c r="C2596" s="124" t="s">
        <v>393</v>
      </c>
      <c r="D2596" s="124"/>
      <c r="E2596" s="140">
        <v>76545</v>
      </c>
    </row>
    <row r="2597" spans="1:5" ht="15.75">
      <c r="A2597" s="237"/>
      <c r="B2597" s="136" t="s">
        <v>67</v>
      </c>
      <c r="C2597" s="124" t="s">
        <v>393</v>
      </c>
      <c r="D2597" s="124"/>
      <c r="E2597" s="140">
        <v>114545</v>
      </c>
    </row>
    <row r="2598" spans="1:5" ht="15.75">
      <c r="A2598" s="237"/>
      <c r="B2598" s="136" t="s">
        <v>71</v>
      </c>
      <c r="C2598" s="124" t="s">
        <v>393</v>
      </c>
      <c r="D2598" s="124"/>
      <c r="E2598" s="140">
        <v>151273</v>
      </c>
    </row>
    <row r="2599" spans="1:5" ht="15.75">
      <c r="A2599" s="237"/>
      <c r="B2599" s="136" t="s">
        <v>129</v>
      </c>
      <c r="C2599" s="124"/>
      <c r="D2599" s="124"/>
      <c r="E2599" s="140"/>
    </row>
    <row r="2600" spans="1:5" ht="15.75">
      <c r="A2600" s="237"/>
      <c r="B2600" s="136" t="s">
        <v>63</v>
      </c>
      <c r="C2600" s="124" t="s">
        <v>393</v>
      </c>
      <c r="D2600" s="124"/>
      <c r="E2600" s="140">
        <v>5545</v>
      </c>
    </row>
    <row r="2601" spans="1:5" ht="15.75">
      <c r="A2601" s="237"/>
      <c r="B2601" s="136" t="s">
        <v>126</v>
      </c>
      <c r="C2601" s="124" t="s">
        <v>393</v>
      </c>
      <c r="D2601" s="124"/>
      <c r="E2601" s="140">
        <v>8727</v>
      </c>
    </row>
    <row r="2602" spans="1:5" ht="15.75">
      <c r="A2602" s="238"/>
      <c r="B2602" s="136" t="s">
        <v>127</v>
      </c>
      <c r="C2602" s="124" t="s">
        <v>393</v>
      </c>
      <c r="D2602" s="124"/>
      <c r="E2602" s="140">
        <v>14364</v>
      </c>
    </row>
    <row r="2603" spans="1:5" ht="15.75">
      <c r="A2603" s="237"/>
      <c r="B2603" s="244" t="s">
        <v>66</v>
      </c>
      <c r="C2603" s="124" t="s">
        <v>393</v>
      </c>
      <c r="D2603" s="124"/>
      <c r="E2603" s="140">
        <v>22000</v>
      </c>
    </row>
    <row r="2604" spans="1:5" ht="15.75">
      <c r="A2604" s="237"/>
      <c r="B2604" s="136" t="s">
        <v>67</v>
      </c>
      <c r="C2604" s="124" t="s">
        <v>393</v>
      </c>
      <c r="D2604" s="124"/>
      <c r="E2604" s="140">
        <v>44000</v>
      </c>
    </row>
    <row r="2605" spans="1:5" ht="15.75">
      <c r="A2605" s="237"/>
      <c r="B2605" s="136" t="s">
        <v>71</v>
      </c>
      <c r="C2605" s="124" t="s">
        <v>393</v>
      </c>
      <c r="D2605" s="124"/>
      <c r="E2605" s="140">
        <v>110000</v>
      </c>
    </row>
    <row r="2606" spans="1:5" ht="15.75">
      <c r="A2606" s="237"/>
      <c r="B2606" s="136" t="s">
        <v>72</v>
      </c>
      <c r="C2606" s="124" t="s">
        <v>393</v>
      </c>
      <c r="D2606" s="124"/>
      <c r="E2606" s="140">
        <v>137818</v>
      </c>
    </row>
    <row r="2607" spans="1:5" ht="15.75">
      <c r="A2607" s="237"/>
      <c r="B2607" s="136" t="s">
        <v>73</v>
      </c>
      <c r="C2607" s="124" t="s">
        <v>393</v>
      </c>
      <c r="D2607" s="124"/>
      <c r="E2607" s="140">
        <v>217545</v>
      </c>
    </row>
    <row r="2608" spans="1:5" ht="15.75">
      <c r="A2608" s="237"/>
      <c r="B2608" s="136" t="s">
        <v>74</v>
      </c>
      <c r="C2608" s="124" t="s">
        <v>393</v>
      </c>
      <c r="D2608" s="124"/>
      <c r="E2608" s="140">
        <v>385000</v>
      </c>
    </row>
    <row r="2609" spans="1:5" ht="15.75">
      <c r="A2609" s="237"/>
      <c r="B2609" s="136" t="s">
        <v>130</v>
      </c>
      <c r="C2609" s="124"/>
      <c r="D2609" s="124"/>
      <c r="E2609" s="140"/>
    </row>
    <row r="2610" spans="1:5" ht="15.75">
      <c r="A2610" s="238"/>
      <c r="B2610" s="136" t="s">
        <v>63</v>
      </c>
      <c r="C2610" s="124" t="s">
        <v>393</v>
      </c>
      <c r="D2610" s="124"/>
      <c r="E2610" s="140">
        <v>2364</v>
      </c>
    </row>
    <row r="2611" spans="1:5" ht="15.75">
      <c r="A2611" s="237"/>
      <c r="B2611" s="136" t="s">
        <v>126</v>
      </c>
      <c r="C2611" s="124" t="s">
        <v>393</v>
      </c>
      <c r="D2611" s="124"/>
      <c r="E2611" s="140">
        <v>4000</v>
      </c>
    </row>
    <row r="2612" spans="1:5" ht="15.75">
      <c r="A2612" s="237"/>
      <c r="B2612" s="136" t="s">
        <v>127</v>
      </c>
      <c r="C2612" s="124" t="s">
        <v>393</v>
      </c>
      <c r="D2612" s="124"/>
      <c r="E2612" s="140">
        <v>5273</v>
      </c>
    </row>
    <row r="2613" spans="1:5" ht="15.75">
      <c r="A2613" s="238"/>
      <c r="B2613" s="244" t="s">
        <v>66</v>
      </c>
      <c r="C2613" s="124" t="s">
        <v>393</v>
      </c>
      <c r="D2613" s="124"/>
      <c r="E2613" s="140">
        <v>8091</v>
      </c>
    </row>
    <row r="2614" spans="1:5" ht="15.75">
      <c r="A2614" s="237"/>
      <c r="B2614" s="136" t="s">
        <v>67</v>
      </c>
      <c r="C2614" s="124" t="s">
        <v>393</v>
      </c>
      <c r="D2614" s="124"/>
      <c r="E2614" s="140">
        <v>15000</v>
      </c>
    </row>
    <row r="2615" spans="1:5" ht="15.75">
      <c r="A2615" s="237"/>
      <c r="B2615" s="136" t="s">
        <v>131</v>
      </c>
      <c r="C2615" s="124"/>
      <c r="D2615" s="124"/>
      <c r="E2615" s="140"/>
    </row>
    <row r="2616" spans="1:5" ht="15.75">
      <c r="A2616" s="237"/>
      <c r="B2616" s="136" t="s">
        <v>71</v>
      </c>
      <c r="C2616" s="124" t="s">
        <v>393</v>
      </c>
      <c r="D2616" s="124"/>
      <c r="E2616" s="140">
        <v>184091</v>
      </c>
    </row>
    <row r="2617" spans="1:5" ht="15.75">
      <c r="A2617" s="237"/>
      <c r="B2617" s="136" t="s">
        <v>74</v>
      </c>
      <c r="C2617" s="124" t="s">
        <v>393</v>
      </c>
      <c r="D2617" s="124"/>
      <c r="E2617" s="140">
        <v>427727</v>
      </c>
    </row>
    <row r="2618" spans="1:5" ht="18" customHeight="1">
      <c r="A2618" s="239" t="s">
        <v>1336</v>
      </c>
      <c r="B2618" s="159" t="s">
        <v>2571</v>
      </c>
      <c r="C2618" s="181"/>
      <c r="D2618" s="181" t="s">
        <v>2570</v>
      </c>
      <c r="E2618" s="140"/>
    </row>
    <row r="2619" spans="1:5" ht="15.75">
      <c r="A2619" s="239"/>
      <c r="B2619" s="138" t="s">
        <v>2572</v>
      </c>
      <c r="C2619" s="181"/>
      <c r="D2619" s="181"/>
      <c r="E2619" s="140"/>
    </row>
    <row r="2620" spans="1:5" ht="15.75">
      <c r="A2620" s="239" t="s">
        <v>380</v>
      </c>
      <c r="B2620" s="133" t="s">
        <v>707</v>
      </c>
      <c r="C2620" s="181"/>
      <c r="D2620" s="181"/>
      <c r="E2620" s="140"/>
    </row>
    <row r="2621" spans="1:5" ht="15.75">
      <c r="A2621" s="239"/>
      <c r="B2621" s="136" t="s">
        <v>708</v>
      </c>
      <c r="C2621" s="124" t="s">
        <v>684</v>
      </c>
      <c r="D2621" s="124"/>
      <c r="E2621" s="140">
        <v>5400</v>
      </c>
    </row>
    <row r="2622" spans="1:5" ht="15.75">
      <c r="A2622" s="239"/>
      <c r="B2622" s="136" t="s">
        <v>709</v>
      </c>
      <c r="C2622" s="124" t="s">
        <v>684</v>
      </c>
      <c r="D2622" s="124"/>
      <c r="E2622" s="140">
        <v>8600</v>
      </c>
    </row>
    <row r="2623" spans="1:5" ht="15.75">
      <c r="A2623" s="239"/>
      <c r="B2623" s="136" t="s">
        <v>710</v>
      </c>
      <c r="C2623" s="124" t="s">
        <v>684</v>
      </c>
      <c r="D2623" s="124"/>
      <c r="E2623" s="245">
        <v>6600</v>
      </c>
    </row>
    <row r="2624" spans="1:5" ht="15.75">
      <c r="A2624" s="239"/>
      <c r="B2624" s="136" t="s">
        <v>711</v>
      </c>
      <c r="C2624" s="124" t="s">
        <v>684</v>
      </c>
      <c r="D2624" s="124"/>
      <c r="E2624" s="245">
        <v>9800</v>
      </c>
    </row>
    <row r="2625" spans="1:5" ht="15.75" customHeight="1">
      <c r="A2625" s="239"/>
      <c r="B2625" s="136" t="s">
        <v>712</v>
      </c>
      <c r="C2625" s="124" t="s">
        <v>684</v>
      </c>
      <c r="D2625" s="124"/>
      <c r="E2625" s="246">
        <v>10900</v>
      </c>
    </row>
    <row r="2626" spans="1:5" ht="15.75">
      <c r="A2626" s="239"/>
      <c r="B2626" s="136" t="s">
        <v>713</v>
      </c>
      <c r="C2626" s="124" t="s">
        <v>684</v>
      </c>
      <c r="D2626" s="124"/>
      <c r="E2626" s="246">
        <v>8600</v>
      </c>
    </row>
    <row r="2627" spans="1:5" ht="15.75">
      <c r="A2627" s="239"/>
      <c r="B2627" s="136" t="s">
        <v>714</v>
      </c>
      <c r="C2627" s="124" t="s">
        <v>684</v>
      </c>
      <c r="D2627" s="124"/>
      <c r="E2627" s="246">
        <v>12400</v>
      </c>
    </row>
    <row r="2628" spans="1:5" ht="15.75">
      <c r="A2628" s="239"/>
      <c r="B2628" s="136" t="s">
        <v>715</v>
      </c>
      <c r="C2628" s="124" t="s">
        <v>684</v>
      </c>
      <c r="D2628" s="124"/>
      <c r="E2628" s="246">
        <v>15100</v>
      </c>
    </row>
    <row r="2629" spans="1:5" ht="15.75">
      <c r="A2629" s="239"/>
      <c r="B2629" s="136" t="s">
        <v>716</v>
      </c>
      <c r="C2629" s="124" t="s">
        <v>684</v>
      </c>
      <c r="D2629" s="124"/>
      <c r="E2629" s="246">
        <v>12800</v>
      </c>
    </row>
    <row r="2630" spans="1:5" ht="15.75">
      <c r="A2630" s="239"/>
      <c r="B2630" s="136" t="s">
        <v>717</v>
      </c>
      <c r="C2630" s="124" t="s">
        <v>684</v>
      </c>
      <c r="D2630" s="124"/>
      <c r="E2630" s="246">
        <v>16900</v>
      </c>
    </row>
    <row r="2631" spans="1:5" ht="15.75">
      <c r="A2631" s="239"/>
      <c r="B2631" s="136" t="s">
        <v>718</v>
      </c>
      <c r="C2631" s="124" t="s">
        <v>684</v>
      </c>
      <c r="D2631" s="124"/>
      <c r="E2631" s="246">
        <v>19300</v>
      </c>
    </row>
    <row r="2632" spans="1:5" ht="15.75">
      <c r="A2632" s="239"/>
      <c r="B2632" s="136" t="s">
        <v>719</v>
      </c>
      <c r="C2632" s="124" t="s">
        <v>684</v>
      </c>
      <c r="D2632" s="124"/>
      <c r="E2632" s="246">
        <v>15100</v>
      </c>
    </row>
    <row r="2633" spans="1:5" ht="15.75">
      <c r="A2633" s="239"/>
      <c r="B2633" s="136" t="s">
        <v>720</v>
      </c>
      <c r="C2633" s="124" t="s">
        <v>684</v>
      </c>
      <c r="D2633" s="124"/>
      <c r="E2633" s="246">
        <v>20100</v>
      </c>
    </row>
    <row r="2634" spans="1:5" ht="15.75">
      <c r="A2634" s="239"/>
      <c r="B2634" s="136" t="s">
        <v>721</v>
      </c>
      <c r="C2634" s="124" t="s">
        <v>684</v>
      </c>
      <c r="D2634" s="124"/>
      <c r="E2634" s="246">
        <v>23300</v>
      </c>
    </row>
    <row r="2635" spans="1:5" ht="15.75">
      <c r="A2635" s="239"/>
      <c r="B2635" s="136" t="s">
        <v>722</v>
      </c>
      <c r="C2635" s="124" t="s">
        <v>684</v>
      </c>
      <c r="D2635" s="124"/>
      <c r="E2635" s="246">
        <v>19500</v>
      </c>
    </row>
    <row r="2636" spans="1:5" ht="15.75">
      <c r="A2636" s="239"/>
      <c r="B2636" s="136" t="s">
        <v>723</v>
      </c>
      <c r="C2636" s="124" t="s">
        <v>684</v>
      </c>
      <c r="D2636" s="124"/>
      <c r="E2636" s="246">
        <v>28500</v>
      </c>
    </row>
    <row r="2637" spans="1:5" ht="15.75">
      <c r="A2637" s="239"/>
      <c r="B2637" s="136" t="s">
        <v>724</v>
      </c>
      <c r="C2637" s="124" t="s">
        <v>684</v>
      </c>
      <c r="D2637" s="124"/>
      <c r="E2637" s="246">
        <v>33300</v>
      </c>
    </row>
    <row r="2638" spans="1:5" ht="15.75">
      <c r="A2638" s="239"/>
      <c r="B2638" s="136" t="s">
        <v>725</v>
      </c>
      <c r="C2638" s="124" t="s">
        <v>684</v>
      </c>
      <c r="D2638" s="124"/>
      <c r="E2638" s="246">
        <v>27500</v>
      </c>
    </row>
    <row r="2639" spans="1:5" ht="15.75">
      <c r="A2639" s="239"/>
      <c r="B2639" s="136" t="s">
        <v>726</v>
      </c>
      <c r="C2639" s="124" t="s">
        <v>684</v>
      </c>
      <c r="D2639" s="124"/>
      <c r="E2639" s="246">
        <v>32100</v>
      </c>
    </row>
    <row r="2640" spans="1:5" ht="15.75">
      <c r="A2640" s="239"/>
      <c r="B2640" s="136" t="s">
        <v>727</v>
      </c>
      <c r="C2640" s="124" t="s">
        <v>684</v>
      </c>
      <c r="D2640" s="124"/>
      <c r="E2640" s="246">
        <v>36300</v>
      </c>
    </row>
    <row r="2641" spans="1:5" ht="15.75">
      <c r="A2641" s="239"/>
      <c r="B2641" s="136" t="s">
        <v>728</v>
      </c>
      <c r="C2641" s="124" t="s">
        <v>684</v>
      </c>
      <c r="D2641" s="124"/>
      <c r="E2641" s="246">
        <v>47400</v>
      </c>
    </row>
    <row r="2642" spans="1:5" ht="15.75">
      <c r="A2642" s="239"/>
      <c r="B2642" s="136" t="s">
        <v>729</v>
      </c>
      <c r="C2642" s="124" t="s">
        <v>684</v>
      </c>
      <c r="D2642" s="124"/>
      <c r="E2642" s="246">
        <v>58500</v>
      </c>
    </row>
    <row r="2643" spans="1:5" ht="15.75">
      <c r="A2643" s="239"/>
      <c r="B2643" s="136" t="s">
        <v>730</v>
      </c>
      <c r="C2643" s="124" t="s">
        <v>684</v>
      </c>
      <c r="D2643" s="124"/>
      <c r="E2643" s="246">
        <v>33500</v>
      </c>
    </row>
    <row r="2644" spans="1:5" ht="15.75">
      <c r="A2644" s="239"/>
      <c r="B2644" s="136" t="s">
        <v>731</v>
      </c>
      <c r="C2644" s="124" t="s">
        <v>684</v>
      </c>
      <c r="D2644" s="124"/>
      <c r="E2644" s="246">
        <v>38400</v>
      </c>
    </row>
    <row r="2645" spans="1:5" ht="15.75">
      <c r="A2645" s="239"/>
      <c r="B2645" s="136" t="s">
        <v>732</v>
      </c>
      <c r="C2645" s="124" t="s">
        <v>684</v>
      </c>
      <c r="D2645" s="124"/>
      <c r="E2645" s="246">
        <v>44800</v>
      </c>
    </row>
    <row r="2646" spans="1:5" ht="15.75">
      <c r="A2646" s="239"/>
      <c r="B2646" s="136" t="s">
        <v>1499</v>
      </c>
      <c r="C2646" s="124" t="s">
        <v>684</v>
      </c>
      <c r="D2646" s="124"/>
      <c r="E2646" s="246">
        <v>51900</v>
      </c>
    </row>
    <row r="2647" spans="1:5" ht="15.75">
      <c r="A2647" s="239"/>
      <c r="B2647" s="136" t="s">
        <v>733</v>
      </c>
      <c r="C2647" s="124" t="s">
        <v>684</v>
      </c>
      <c r="D2647" s="124"/>
      <c r="E2647" s="246">
        <v>68100</v>
      </c>
    </row>
    <row r="2648" spans="1:5" ht="15.75">
      <c r="A2648" s="239"/>
      <c r="B2648" s="136" t="s">
        <v>734</v>
      </c>
      <c r="C2648" s="124" t="s">
        <v>684</v>
      </c>
      <c r="D2648" s="124"/>
      <c r="E2648" s="246">
        <v>50600</v>
      </c>
    </row>
    <row r="2649" spans="1:5" ht="15.75">
      <c r="A2649" s="239"/>
      <c r="B2649" s="136" t="s">
        <v>735</v>
      </c>
      <c r="C2649" s="124" t="s">
        <v>684</v>
      </c>
      <c r="D2649" s="124"/>
      <c r="E2649" s="246">
        <v>57300</v>
      </c>
    </row>
    <row r="2650" spans="1:5" ht="15.75">
      <c r="A2650" s="239"/>
      <c r="B2650" s="136" t="s">
        <v>736</v>
      </c>
      <c r="C2650" s="124" t="s">
        <v>684</v>
      </c>
      <c r="D2650" s="124"/>
      <c r="E2650" s="246">
        <v>66700</v>
      </c>
    </row>
    <row r="2651" spans="1:5" ht="15.75">
      <c r="A2651" s="239"/>
      <c r="B2651" s="136" t="s">
        <v>737</v>
      </c>
      <c r="C2651" s="124" t="s">
        <v>684</v>
      </c>
      <c r="D2651" s="124"/>
      <c r="E2651" s="246">
        <v>76000</v>
      </c>
    </row>
    <row r="2652" spans="1:5" ht="15.75">
      <c r="A2652" s="239"/>
      <c r="B2652" s="136" t="s">
        <v>738</v>
      </c>
      <c r="C2652" s="124" t="s">
        <v>684</v>
      </c>
      <c r="D2652" s="124"/>
      <c r="E2652" s="246">
        <v>106500</v>
      </c>
    </row>
    <row r="2653" spans="1:5" ht="15.75">
      <c r="A2653" s="237"/>
      <c r="B2653" s="136" t="s">
        <v>1500</v>
      </c>
      <c r="C2653" s="124" t="s">
        <v>684</v>
      </c>
      <c r="D2653" s="124"/>
      <c r="E2653" s="246">
        <v>212500</v>
      </c>
    </row>
    <row r="2654" spans="1:5" ht="15.75">
      <c r="A2654" s="237"/>
      <c r="B2654" s="136" t="s">
        <v>739</v>
      </c>
      <c r="C2654" s="124" t="s">
        <v>684</v>
      </c>
      <c r="D2654" s="124"/>
      <c r="E2654" s="246">
        <v>247200</v>
      </c>
    </row>
    <row r="2655" spans="1:5" ht="15.75">
      <c r="A2655" s="237"/>
      <c r="B2655" s="136" t="s">
        <v>740</v>
      </c>
      <c r="C2655" s="124" t="s">
        <v>684</v>
      </c>
      <c r="D2655" s="124"/>
      <c r="E2655" s="246">
        <v>315500</v>
      </c>
    </row>
    <row r="2656" spans="1:5" ht="15.75">
      <c r="A2656" s="237" t="s">
        <v>380</v>
      </c>
      <c r="B2656" s="133" t="s">
        <v>741</v>
      </c>
      <c r="C2656" s="181"/>
      <c r="D2656" s="181"/>
      <c r="E2656" s="140"/>
    </row>
    <row r="2657" spans="1:5" ht="15.75">
      <c r="A2657" s="237"/>
      <c r="B2657" s="136" t="s">
        <v>742</v>
      </c>
      <c r="C2657" s="181" t="s">
        <v>684</v>
      </c>
      <c r="D2657" s="181"/>
      <c r="E2657" s="246">
        <v>7800</v>
      </c>
    </row>
    <row r="2658" spans="1:5" ht="15.75">
      <c r="A2658" s="237"/>
      <c r="B2658" s="136" t="s">
        <v>743</v>
      </c>
      <c r="C2658" s="181" t="s">
        <v>684</v>
      </c>
      <c r="D2658" s="181"/>
      <c r="E2658" s="246">
        <v>9000</v>
      </c>
    </row>
    <row r="2659" spans="1:5" ht="15.75">
      <c r="A2659" s="237"/>
      <c r="B2659" s="136" t="s">
        <v>744</v>
      </c>
      <c r="C2659" s="181" t="s">
        <v>684</v>
      </c>
      <c r="D2659" s="181"/>
      <c r="E2659" s="246">
        <v>10000</v>
      </c>
    </row>
    <row r="2660" spans="1:5" ht="15.75">
      <c r="A2660" s="237"/>
      <c r="B2660" s="136" t="s">
        <v>745</v>
      </c>
      <c r="C2660" s="181" t="s">
        <v>684</v>
      </c>
      <c r="D2660" s="181"/>
      <c r="E2660" s="246">
        <v>11500</v>
      </c>
    </row>
    <row r="2661" spans="1:5" ht="15.75">
      <c r="A2661" s="237"/>
      <c r="B2661" s="136" t="s">
        <v>746</v>
      </c>
      <c r="C2661" s="181" t="s">
        <v>684</v>
      </c>
      <c r="D2661" s="181"/>
      <c r="E2661" s="246">
        <v>14200</v>
      </c>
    </row>
    <row r="2662" spans="1:5" ht="15.75">
      <c r="A2662" s="237"/>
      <c r="B2662" s="136" t="s">
        <v>747</v>
      </c>
      <c r="C2662" s="181" t="s">
        <v>684</v>
      </c>
      <c r="D2662" s="181"/>
      <c r="E2662" s="246">
        <v>13100</v>
      </c>
    </row>
    <row r="2663" spans="1:5" ht="15.75">
      <c r="A2663" s="237"/>
      <c r="B2663" s="136" t="s">
        <v>748</v>
      </c>
      <c r="C2663" s="181" t="s">
        <v>684</v>
      </c>
      <c r="D2663" s="181"/>
      <c r="E2663" s="246">
        <v>15500</v>
      </c>
    </row>
    <row r="2664" spans="1:5" ht="15.75">
      <c r="A2664" s="237"/>
      <c r="B2664" s="136" t="s">
        <v>1501</v>
      </c>
      <c r="C2664" s="181" t="s">
        <v>684</v>
      </c>
      <c r="D2664" s="181"/>
      <c r="E2664" s="246">
        <v>18700</v>
      </c>
    </row>
    <row r="2665" spans="1:5" ht="15.75">
      <c r="A2665" s="237"/>
      <c r="B2665" s="136" t="s">
        <v>749</v>
      </c>
      <c r="C2665" s="181" t="s">
        <v>684</v>
      </c>
      <c r="D2665" s="181"/>
      <c r="E2665" s="246">
        <v>22000</v>
      </c>
    </row>
    <row r="2666" spans="1:5" ht="15.75">
      <c r="A2666" s="237"/>
      <c r="B2666" s="136" t="s">
        <v>750</v>
      </c>
      <c r="C2666" s="181" t="s">
        <v>684</v>
      </c>
      <c r="D2666" s="181"/>
      <c r="E2666" s="246">
        <v>16500</v>
      </c>
    </row>
    <row r="2667" spans="1:5" ht="15.75">
      <c r="A2667" s="237"/>
      <c r="B2667" s="136" t="s">
        <v>751</v>
      </c>
      <c r="C2667" s="181" t="s">
        <v>684</v>
      </c>
      <c r="D2667" s="181"/>
      <c r="E2667" s="246">
        <v>19700</v>
      </c>
    </row>
    <row r="2668" spans="1:5" ht="15.75">
      <c r="A2668" s="237"/>
      <c r="B2668" s="136" t="s">
        <v>752</v>
      </c>
      <c r="C2668" s="181" t="s">
        <v>684</v>
      </c>
      <c r="D2668" s="181"/>
      <c r="E2668" s="246">
        <v>23900</v>
      </c>
    </row>
    <row r="2669" spans="1:5" ht="15.75">
      <c r="A2669" s="237"/>
      <c r="B2669" s="136" t="s">
        <v>753</v>
      </c>
      <c r="C2669" s="181" t="s">
        <v>684</v>
      </c>
      <c r="D2669" s="181"/>
      <c r="E2669" s="246">
        <v>28900</v>
      </c>
    </row>
    <row r="2670" spans="1:5" ht="15.75">
      <c r="A2670" s="237"/>
      <c r="B2670" s="136" t="s">
        <v>754</v>
      </c>
      <c r="C2670" s="181" t="s">
        <v>684</v>
      </c>
      <c r="D2670" s="181"/>
      <c r="E2670" s="246">
        <v>34400</v>
      </c>
    </row>
    <row r="2671" spans="1:5" ht="15.75">
      <c r="A2671" s="237"/>
      <c r="B2671" s="136" t="s">
        <v>755</v>
      </c>
      <c r="C2671" s="181" t="s">
        <v>684</v>
      </c>
      <c r="D2671" s="181"/>
      <c r="E2671" s="246">
        <v>25100</v>
      </c>
    </row>
    <row r="2672" spans="1:5" ht="15.75">
      <c r="A2672" s="237"/>
      <c r="B2672" s="136" t="s">
        <v>756</v>
      </c>
      <c r="C2672" s="181" t="s">
        <v>684</v>
      </c>
      <c r="D2672" s="181"/>
      <c r="E2672" s="246">
        <v>30400</v>
      </c>
    </row>
    <row r="2673" spans="1:5" ht="15.75">
      <c r="A2673" s="237"/>
      <c r="B2673" s="136" t="s">
        <v>757</v>
      </c>
      <c r="C2673" s="181" t="s">
        <v>684</v>
      </c>
      <c r="D2673" s="181"/>
      <c r="E2673" s="246">
        <v>37000</v>
      </c>
    </row>
    <row r="2674" spans="1:5" ht="15.75">
      <c r="A2674" s="237"/>
      <c r="B2674" s="136" t="s">
        <v>758</v>
      </c>
      <c r="C2674" s="181" t="s">
        <v>684</v>
      </c>
      <c r="D2674" s="181"/>
      <c r="E2674" s="246">
        <v>44900</v>
      </c>
    </row>
    <row r="2675" spans="1:5" ht="15.75">
      <c r="A2675" s="237"/>
      <c r="B2675" s="136" t="s">
        <v>759</v>
      </c>
      <c r="C2675" s="181" t="s">
        <v>684</v>
      </c>
      <c r="D2675" s="181"/>
      <c r="E2675" s="246">
        <v>53200</v>
      </c>
    </row>
    <row r="2676" spans="1:5" ht="15.75">
      <c r="A2676" s="237"/>
      <c r="B2676" s="136" t="s">
        <v>760</v>
      </c>
      <c r="C2676" s="181" t="s">
        <v>684</v>
      </c>
      <c r="D2676" s="181"/>
      <c r="E2676" s="246">
        <v>39400</v>
      </c>
    </row>
    <row r="2677" spans="1:5" ht="15.75">
      <c r="A2677" s="237"/>
      <c r="B2677" s="136" t="s">
        <v>761</v>
      </c>
      <c r="C2677" s="181" t="s">
        <v>684</v>
      </c>
      <c r="D2677" s="181"/>
      <c r="E2677" s="246">
        <v>48500</v>
      </c>
    </row>
    <row r="2678" spans="1:5" ht="15.75">
      <c r="A2678" s="237"/>
      <c r="B2678" s="136" t="s">
        <v>762</v>
      </c>
      <c r="C2678" s="181" t="s">
        <v>684</v>
      </c>
      <c r="D2678" s="181"/>
      <c r="E2678" s="246">
        <v>58900</v>
      </c>
    </row>
    <row r="2679" spans="1:5" ht="15.75">
      <c r="A2679" s="237"/>
      <c r="B2679" s="136" t="s">
        <v>763</v>
      </c>
      <c r="C2679" s="181" t="s">
        <v>684</v>
      </c>
      <c r="D2679" s="181"/>
      <c r="E2679" s="246">
        <v>71000</v>
      </c>
    </row>
    <row r="2680" spans="1:5" ht="15.75">
      <c r="A2680" s="237"/>
      <c r="B2680" s="136" t="s">
        <v>764</v>
      </c>
      <c r="C2680" s="181" t="s">
        <v>684</v>
      </c>
      <c r="D2680" s="181"/>
      <c r="E2680" s="246">
        <v>85000</v>
      </c>
    </row>
    <row r="2681" spans="1:5" ht="15.75">
      <c r="A2681" s="237"/>
      <c r="B2681" s="136" t="s">
        <v>765</v>
      </c>
      <c r="C2681" s="181" t="s">
        <v>684</v>
      </c>
      <c r="D2681" s="181"/>
      <c r="E2681" s="246">
        <v>55600</v>
      </c>
    </row>
    <row r="2682" spans="1:5" ht="15.75">
      <c r="A2682" s="237"/>
      <c r="B2682" s="136" t="s">
        <v>766</v>
      </c>
      <c r="C2682" s="181" t="s">
        <v>684</v>
      </c>
      <c r="D2682" s="181"/>
      <c r="E2682" s="246">
        <v>68400</v>
      </c>
    </row>
    <row r="2683" spans="1:5" ht="15.75">
      <c r="A2683" s="237"/>
      <c r="B2683" s="136" t="s">
        <v>767</v>
      </c>
      <c r="C2683" s="181" t="s">
        <v>684</v>
      </c>
      <c r="D2683" s="181"/>
      <c r="E2683" s="246">
        <v>83400</v>
      </c>
    </row>
    <row r="2684" spans="1:5" ht="15.75">
      <c r="A2684" s="237"/>
      <c r="B2684" s="136" t="s">
        <v>768</v>
      </c>
      <c r="C2684" s="181" t="s">
        <v>684</v>
      </c>
      <c r="D2684" s="181"/>
      <c r="E2684" s="246">
        <v>99100</v>
      </c>
    </row>
    <row r="2685" spans="1:5" ht="15.75">
      <c r="A2685" s="237"/>
      <c r="B2685" s="136" t="s">
        <v>769</v>
      </c>
      <c r="C2685" s="181" t="s">
        <v>684</v>
      </c>
      <c r="D2685" s="181"/>
      <c r="E2685" s="246">
        <v>119500</v>
      </c>
    </row>
    <row r="2686" spans="1:5" ht="15.75">
      <c r="A2686" s="237"/>
      <c r="B2686" s="136" t="s">
        <v>770</v>
      </c>
      <c r="C2686" s="181" t="s">
        <v>684</v>
      </c>
      <c r="D2686" s="181"/>
      <c r="E2686" s="246">
        <v>79800</v>
      </c>
    </row>
    <row r="2687" spans="1:5" ht="15.75">
      <c r="A2687" s="237"/>
      <c r="B2687" s="136" t="s">
        <v>771</v>
      </c>
      <c r="C2687" s="181" t="s">
        <v>684</v>
      </c>
      <c r="D2687" s="181"/>
      <c r="E2687" s="246">
        <v>98400</v>
      </c>
    </row>
    <row r="2688" spans="1:5" ht="15.75">
      <c r="A2688" s="237"/>
      <c r="B2688" s="136" t="s">
        <v>772</v>
      </c>
      <c r="C2688" s="181" t="s">
        <v>684</v>
      </c>
      <c r="D2688" s="181"/>
      <c r="E2688" s="246">
        <v>119500</v>
      </c>
    </row>
    <row r="2689" spans="1:5" ht="15.75">
      <c r="A2689" s="237"/>
      <c r="B2689" s="136" t="s">
        <v>773</v>
      </c>
      <c r="C2689" s="181" t="s">
        <v>684</v>
      </c>
      <c r="D2689" s="181"/>
      <c r="E2689" s="246">
        <v>143600</v>
      </c>
    </row>
    <row r="2690" spans="1:5" ht="15.75">
      <c r="A2690" s="237"/>
      <c r="B2690" s="136" t="s">
        <v>774</v>
      </c>
      <c r="C2690" s="181" t="s">
        <v>684</v>
      </c>
      <c r="D2690" s="181"/>
      <c r="E2690" s="246">
        <v>96400</v>
      </c>
    </row>
    <row r="2691" spans="1:5" ht="15.75">
      <c r="A2691" s="237"/>
      <c r="B2691" s="136" t="s">
        <v>775</v>
      </c>
      <c r="C2691" s="181" t="s">
        <v>684</v>
      </c>
      <c r="D2691" s="181"/>
      <c r="E2691" s="246">
        <v>119700</v>
      </c>
    </row>
    <row r="2692" spans="1:5" ht="15.75">
      <c r="A2692" s="237"/>
      <c r="B2692" s="136" t="s">
        <v>776</v>
      </c>
      <c r="C2692" s="181" t="s">
        <v>684</v>
      </c>
      <c r="D2692" s="181"/>
      <c r="E2692" s="246">
        <v>146400</v>
      </c>
    </row>
    <row r="2693" spans="1:5" ht="15.75">
      <c r="A2693" s="237"/>
      <c r="B2693" s="136" t="s">
        <v>777</v>
      </c>
      <c r="C2693" s="181" t="s">
        <v>684</v>
      </c>
      <c r="D2693" s="181"/>
      <c r="E2693" s="246">
        <v>177100</v>
      </c>
    </row>
    <row r="2694" spans="1:5" ht="15.75">
      <c r="A2694" s="237"/>
      <c r="B2694" s="136" t="s">
        <v>778</v>
      </c>
      <c r="C2694" s="181" t="s">
        <v>684</v>
      </c>
      <c r="D2694" s="181"/>
      <c r="E2694" s="246">
        <v>317500</v>
      </c>
    </row>
    <row r="2695" spans="1:5" ht="15.75">
      <c r="A2695" s="237"/>
      <c r="B2695" s="136" t="s">
        <v>779</v>
      </c>
      <c r="C2695" s="181" t="s">
        <v>684</v>
      </c>
      <c r="D2695" s="181"/>
      <c r="E2695" s="246">
        <v>391300</v>
      </c>
    </row>
    <row r="2696" spans="1:5" ht="15.75">
      <c r="A2696" s="237"/>
      <c r="B2696" s="136" t="s">
        <v>780</v>
      </c>
      <c r="C2696" s="181" t="s">
        <v>684</v>
      </c>
      <c r="D2696" s="181"/>
      <c r="E2696" s="246">
        <v>477600</v>
      </c>
    </row>
    <row r="2697" spans="1:5" ht="15.75">
      <c r="A2697" s="237" t="s">
        <v>380</v>
      </c>
      <c r="B2697" s="133" t="s">
        <v>781</v>
      </c>
      <c r="C2697" s="181"/>
      <c r="D2697" s="181"/>
      <c r="E2697" s="246"/>
    </row>
    <row r="2698" spans="1:5" ht="15.75">
      <c r="A2698" s="237"/>
      <c r="B2698" s="136" t="s">
        <v>782</v>
      </c>
      <c r="C2698" s="181" t="s">
        <v>684</v>
      </c>
      <c r="D2698" s="181"/>
      <c r="E2698" s="246">
        <v>18100</v>
      </c>
    </row>
    <row r="2699" spans="1:5" ht="15.75">
      <c r="A2699" s="237"/>
      <c r="B2699" s="136" t="s">
        <v>783</v>
      </c>
      <c r="C2699" s="181" t="s">
        <v>684</v>
      </c>
      <c r="D2699" s="181"/>
      <c r="E2699" s="246">
        <v>26700</v>
      </c>
    </row>
    <row r="2700" spans="1:5" ht="15.75">
      <c r="A2700" s="237"/>
      <c r="B2700" s="136" t="s">
        <v>784</v>
      </c>
      <c r="C2700" s="181" t="s">
        <v>684</v>
      </c>
      <c r="D2700" s="181"/>
      <c r="E2700" s="246">
        <v>27499.999999999996</v>
      </c>
    </row>
    <row r="2701" spans="1:5" ht="15.75">
      <c r="A2701" s="237"/>
      <c r="B2701" s="136" t="s">
        <v>785</v>
      </c>
      <c r="C2701" s="181" t="s">
        <v>684</v>
      </c>
      <c r="D2701" s="181"/>
      <c r="E2701" s="246">
        <v>47300</v>
      </c>
    </row>
    <row r="2702" spans="1:5" ht="15.75">
      <c r="A2702" s="237"/>
      <c r="B2702" s="136" t="s">
        <v>786</v>
      </c>
      <c r="C2702" s="181" t="s">
        <v>684</v>
      </c>
      <c r="D2702" s="181"/>
      <c r="E2702" s="246">
        <v>50100</v>
      </c>
    </row>
    <row r="2703" spans="1:5" ht="15.75">
      <c r="A2703" s="237"/>
      <c r="B2703" s="136" t="s">
        <v>787</v>
      </c>
      <c r="C2703" s="181" t="s">
        <v>684</v>
      </c>
      <c r="D2703" s="181"/>
      <c r="E2703" s="246">
        <v>69100</v>
      </c>
    </row>
    <row r="2704" spans="1:5" ht="15.75">
      <c r="A2704" s="237"/>
      <c r="B2704" s="136" t="s">
        <v>788</v>
      </c>
      <c r="C2704" s="181" t="s">
        <v>684</v>
      </c>
      <c r="D2704" s="181"/>
      <c r="E2704" s="246">
        <v>67200</v>
      </c>
    </row>
    <row r="2705" spans="1:5" ht="15.75">
      <c r="A2705" s="237"/>
      <c r="B2705" s="136" t="s">
        <v>789</v>
      </c>
      <c r="C2705" s="181" t="s">
        <v>684</v>
      </c>
      <c r="D2705" s="181"/>
      <c r="E2705" s="246">
        <v>107100</v>
      </c>
    </row>
    <row r="2706" spans="1:5" ht="15.75">
      <c r="A2706" s="237"/>
      <c r="B2706" s="136" t="s">
        <v>790</v>
      </c>
      <c r="C2706" s="181" t="s">
        <v>684</v>
      </c>
      <c r="D2706" s="181"/>
      <c r="E2706" s="246">
        <v>98500</v>
      </c>
    </row>
    <row r="2707" spans="1:5" ht="15.75">
      <c r="A2707" s="237"/>
      <c r="B2707" s="136" t="s">
        <v>791</v>
      </c>
      <c r="C2707" s="181" t="s">
        <v>684</v>
      </c>
      <c r="D2707" s="181"/>
      <c r="E2707" s="246">
        <v>166500</v>
      </c>
    </row>
    <row r="2708" spans="1:5" ht="15.75">
      <c r="A2708" s="237"/>
      <c r="B2708" s="136" t="s">
        <v>792</v>
      </c>
      <c r="C2708" s="181" t="s">
        <v>684</v>
      </c>
      <c r="D2708" s="181"/>
      <c r="E2708" s="246">
        <v>157100</v>
      </c>
    </row>
    <row r="2709" spans="1:5" ht="15.75">
      <c r="A2709" s="237"/>
      <c r="B2709" s="136" t="s">
        <v>793</v>
      </c>
      <c r="C2709" s="181" t="s">
        <v>684</v>
      </c>
      <c r="D2709" s="181"/>
      <c r="E2709" s="246">
        <v>262800</v>
      </c>
    </row>
    <row r="2710" spans="1:5" ht="15.75">
      <c r="A2710" s="237"/>
      <c r="B2710" s="136" t="s">
        <v>794</v>
      </c>
      <c r="C2710" s="181" t="s">
        <v>684</v>
      </c>
      <c r="D2710" s="181"/>
      <c r="E2710" s="246">
        <v>219400</v>
      </c>
    </row>
    <row r="2711" spans="1:5" ht="15.75">
      <c r="A2711" s="237"/>
      <c r="B2711" s="136" t="s">
        <v>795</v>
      </c>
      <c r="C2711" s="181" t="s">
        <v>684</v>
      </c>
      <c r="D2711" s="181"/>
      <c r="E2711" s="246">
        <v>372700</v>
      </c>
    </row>
    <row r="2712" spans="1:5" ht="15.75">
      <c r="A2712" s="237"/>
      <c r="B2712" s="136" t="s">
        <v>796</v>
      </c>
      <c r="C2712" s="181" t="s">
        <v>684</v>
      </c>
      <c r="D2712" s="181"/>
      <c r="E2712" s="246">
        <v>318400</v>
      </c>
    </row>
    <row r="2713" spans="1:5" ht="15.75">
      <c r="A2713" s="237"/>
      <c r="B2713" s="136" t="s">
        <v>797</v>
      </c>
      <c r="C2713" s="181" t="s">
        <v>684</v>
      </c>
      <c r="D2713" s="181"/>
      <c r="E2713" s="246">
        <v>543100</v>
      </c>
    </row>
    <row r="2714" spans="1:5" ht="15.75">
      <c r="A2714" s="237"/>
      <c r="B2714" s="136" t="s">
        <v>798</v>
      </c>
      <c r="C2714" s="181" t="s">
        <v>684</v>
      </c>
      <c r="D2714" s="181"/>
      <c r="E2714" s="246">
        <v>509200</v>
      </c>
    </row>
    <row r="2715" spans="1:5" ht="15.75">
      <c r="A2715" s="237"/>
      <c r="B2715" s="136" t="s">
        <v>799</v>
      </c>
      <c r="C2715" s="181" t="s">
        <v>684</v>
      </c>
      <c r="D2715" s="181"/>
      <c r="E2715" s="246">
        <v>804200</v>
      </c>
    </row>
    <row r="2716" spans="1:5" ht="15.75">
      <c r="A2716" s="239" t="s">
        <v>1337</v>
      </c>
      <c r="B2716" s="123" t="s">
        <v>670</v>
      </c>
      <c r="C2716" s="161"/>
      <c r="D2716" s="161"/>
      <c r="E2716" s="247"/>
    </row>
    <row r="2717" spans="1:5" ht="15.75">
      <c r="A2717" s="239" t="s">
        <v>380</v>
      </c>
      <c r="B2717" s="123" t="s">
        <v>1271</v>
      </c>
      <c r="C2717" s="124"/>
      <c r="D2717" s="124"/>
      <c r="E2717" s="140"/>
    </row>
    <row r="2718" spans="1:5" ht="15.75">
      <c r="A2718" s="237"/>
      <c r="B2718" s="136" t="s">
        <v>681</v>
      </c>
      <c r="C2718" s="124" t="s">
        <v>684</v>
      </c>
      <c r="D2718" s="124"/>
      <c r="E2718" s="140">
        <v>19500</v>
      </c>
    </row>
    <row r="2719" spans="1:5" ht="15.75">
      <c r="A2719" s="237"/>
      <c r="B2719" s="136" t="s">
        <v>682</v>
      </c>
      <c r="C2719" s="124" t="s">
        <v>684</v>
      </c>
      <c r="D2719" s="124"/>
      <c r="E2719" s="140">
        <v>76000</v>
      </c>
    </row>
    <row r="2720" spans="1:5" ht="15.75">
      <c r="A2720" s="237"/>
      <c r="B2720" s="136" t="s">
        <v>683</v>
      </c>
      <c r="C2720" s="124" t="s">
        <v>393</v>
      </c>
      <c r="D2720" s="124"/>
      <c r="E2720" s="140">
        <v>5200</v>
      </c>
    </row>
    <row r="2721" spans="1:5" ht="15.75">
      <c r="A2721" s="237"/>
      <c r="B2721" s="136" t="s">
        <v>685</v>
      </c>
      <c r="C2721" s="124" t="s">
        <v>393</v>
      </c>
      <c r="D2721" s="124"/>
      <c r="E2721" s="140">
        <v>45500</v>
      </c>
    </row>
    <row r="2722" spans="1:5" ht="15.75">
      <c r="A2722" s="237"/>
      <c r="B2722" s="136" t="s">
        <v>686</v>
      </c>
      <c r="C2722" s="124" t="s">
        <v>393</v>
      </c>
      <c r="D2722" s="124"/>
      <c r="E2722" s="140">
        <v>3600</v>
      </c>
    </row>
    <row r="2723" spans="1:5" ht="15.75">
      <c r="A2723" s="237"/>
      <c r="B2723" s="136" t="s">
        <v>687</v>
      </c>
      <c r="C2723" s="124" t="s">
        <v>393</v>
      </c>
      <c r="D2723" s="124"/>
      <c r="E2723" s="140">
        <v>33600</v>
      </c>
    </row>
    <row r="2724" spans="1:5" ht="15.75">
      <c r="A2724" s="239" t="s">
        <v>380</v>
      </c>
      <c r="B2724" s="123" t="s">
        <v>1272</v>
      </c>
      <c r="C2724" s="124"/>
      <c r="D2724" s="124"/>
      <c r="E2724" s="140"/>
    </row>
    <row r="2725" spans="1:5" ht="15.75">
      <c r="A2725" s="237"/>
      <c r="B2725" s="136" t="s">
        <v>688</v>
      </c>
      <c r="C2725" s="124" t="s">
        <v>684</v>
      </c>
      <c r="D2725" s="124"/>
      <c r="E2725" s="140">
        <v>19000</v>
      </c>
    </row>
    <row r="2726" spans="1:5" ht="15.75">
      <c r="A2726" s="237"/>
      <c r="B2726" s="136" t="s">
        <v>689</v>
      </c>
      <c r="C2726" s="124" t="s">
        <v>684</v>
      </c>
      <c r="D2726" s="124"/>
      <c r="E2726" s="140">
        <v>136000</v>
      </c>
    </row>
    <row r="2727" spans="1:5" ht="15.75">
      <c r="A2727" s="237"/>
      <c r="B2727" s="136" t="s">
        <v>690</v>
      </c>
      <c r="C2727" s="124" t="s">
        <v>684</v>
      </c>
      <c r="D2727" s="124"/>
      <c r="E2727" s="140">
        <v>20800</v>
      </c>
    </row>
    <row r="2728" spans="1:5" ht="15.75">
      <c r="A2728" s="237"/>
      <c r="B2728" s="136" t="s">
        <v>691</v>
      </c>
      <c r="C2728" s="124" t="s">
        <v>684</v>
      </c>
      <c r="D2728" s="124"/>
      <c r="E2728" s="140">
        <v>40500</v>
      </c>
    </row>
    <row r="2729" spans="1:5" ht="15.75">
      <c r="A2729" s="237"/>
      <c r="B2729" s="136" t="s">
        <v>692</v>
      </c>
      <c r="C2729" s="124" t="s">
        <v>684</v>
      </c>
      <c r="D2729" s="124"/>
      <c r="E2729" s="140">
        <v>22200</v>
      </c>
    </row>
    <row r="2730" spans="1:5" ht="15.75">
      <c r="A2730" s="237"/>
      <c r="B2730" s="136" t="s">
        <v>693</v>
      </c>
      <c r="C2730" s="124" t="s">
        <v>393</v>
      </c>
      <c r="D2730" s="124"/>
      <c r="E2730" s="140">
        <v>30500</v>
      </c>
    </row>
    <row r="2731" spans="1:5" ht="15.75">
      <c r="A2731" s="237"/>
      <c r="B2731" s="136" t="s">
        <v>671</v>
      </c>
      <c r="C2731" s="124" t="s">
        <v>393</v>
      </c>
      <c r="D2731" s="124"/>
      <c r="E2731" s="140">
        <v>34200</v>
      </c>
    </row>
    <row r="2732" spans="1:5" ht="15.75">
      <c r="A2732" s="237"/>
      <c r="B2732" s="136" t="s">
        <v>694</v>
      </c>
      <c r="C2732" s="124" t="s">
        <v>393</v>
      </c>
      <c r="D2732" s="124"/>
      <c r="E2732" s="140">
        <v>35500</v>
      </c>
    </row>
    <row r="2733" spans="1:5" ht="15.75">
      <c r="A2733" s="237"/>
      <c r="B2733" s="136" t="s">
        <v>695</v>
      </c>
      <c r="C2733" s="124" t="s">
        <v>393</v>
      </c>
      <c r="D2733" s="124"/>
      <c r="E2733" s="140">
        <v>122000</v>
      </c>
    </row>
    <row r="2734" spans="1:5" ht="16.5" thickBot="1">
      <c r="A2734" s="248"/>
      <c r="B2734" s="249" t="s">
        <v>696</v>
      </c>
      <c r="C2734" s="250" t="s">
        <v>393</v>
      </c>
      <c r="D2734" s="250"/>
      <c r="E2734" s="251">
        <v>525000</v>
      </c>
    </row>
    <row r="2735" ht="15"/>
    <row r="2736" ht="15"/>
    <row r="2737" ht="15"/>
    <row r="2738" ht="15"/>
    <row r="2739" ht="15"/>
    <row r="2740" ht="15"/>
    <row r="2741" ht="15"/>
  </sheetData>
  <sheetProtection/>
  <mergeCells count="45">
    <mergeCell ref="D2108:D2121"/>
    <mergeCell ref="D2138:D2148"/>
    <mergeCell ref="D2210:D2217"/>
    <mergeCell ref="D2218:D2230"/>
    <mergeCell ref="D2231:D2238"/>
    <mergeCell ref="D2041:D2097"/>
    <mergeCell ref="D2123:D2136"/>
    <mergeCell ref="D2164:D2177"/>
    <mergeCell ref="D2099:D2106"/>
    <mergeCell ref="D2149:D2162"/>
    <mergeCell ref="D2178:D2182"/>
    <mergeCell ref="D2184:D2209"/>
    <mergeCell ref="A2239:E2239"/>
    <mergeCell ref="A1086:E1086"/>
    <mergeCell ref="B1066:E1066"/>
    <mergeCell ref="A1045:E1045"/>
    <mergeCell ref="A471:E471"/>
    <mergeCell ref="A620:E620"/>
    <mergeCell ref="A981:E981"/>
    <mergeCell ref="D477:D524"/>
    <mergeCell ref="B474:B475"/>
    <mergeCell ref="B528:E528"/>
    <mergeCell ref="A1:E1"/>
    <mergeCell ref="A2:E2"/>
    <mergeCell ref="C3:E3"/>
    <mergeCell ref="A329:E329"/>
    <mergeCell ref="A298:E298"/>
    <mergeCell ref="B313:E313"/>
    <mergeCell ref="D305:E305"/>
    <mergeCell ref="D944:D952"/>
    <mergeCell ref="D931:D943"/>
    <mergeCell ref="D928:D929"/>
    <mergeCell ref="D925:D927"/>
    <mergeCell ref="D909:D924"/>
    <mergeCell ref="A5:E5"/>
    <mergeCell ref="D431:D432"/>
    <mergeCell ref="B841:D841"/>
    <mergeCell ref="D1768:E1768"/>
    <mergeCell ref="D1778:E1778"/>
    <mergeCell ref="D1788:E1788"/>
    <mergeCell ref="A428:E428"/>
    <mergeCell ref="B433:E433"/>
    <mergeCell ref="B525:E525"/>
    <mergeCell ref="B526:E526"/>
    <mergeCell ref="B527:E527"/>
  </mergeCells>
  <printOptions/>
  <pageMargins left="0.5" right="0.25" top="0.5" bottom="0.5" header="0.3" footer="0.3"/>
  <pageSetup horizontalDpi="600" verticalDpi="600" orientation="portrait" paperSize="9" r:id="rId3"/>
  <headerFooter>
    <oddFooter>&amp;CPage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 Phuong BG 15 Nguyen Van Cu, TP BG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Phòng KTKH&amp;VLXD</dc:creator>
  <cp:keywords/>
  <dc:description/>
  <cp:lastModifiedBy>ismail - [2010]</cp:lastModifiedBy>
  <cp:lastPrinted>2022-12-12T10:17:35Z</cp:lastPrinted>
  <dcterms:created xsi:type="dcterms:W3CDTF">2008-01-31T02:45:23Z</dcterms:created>
  <dcterms:modified xsi:type="dcterms:W3CDTF">2022-12-12T11:02:26Z</dcterms:modified>
  <cp:category/>
  <cp:version/>
  <cp:contentType/>
  <cp:contentStatus/>
</cp:coreProperties>
</file>